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seje20ab_student_cbs_dk/Documents/HD2/4. Semester/Opgaven/"/>
    </mc:Choice>
  </mc:AlternateContent>
  <xr:revisionPtr revIDLastSave="2739" documentId="8_{7D784211-EF97-4852-890D-879E08E9054C}" xr6:coauthVersionLast="47" xr6:coauthVersionMax="47" xr10:uidLastSave="{58F538BA-FB92-40C5-97E9-D64615A7B75B}"/>
  <bookViews>
    <workbookView xWindow="51480" yWindow="5220" windowWidth="29040" windowHeight="15840" tabRatio="712" firstSheet="5" activeTab="13" xr2:uid="{2FC890C4-B14A-4257-8911-976259C03255}"/>
  </bookViews>
  <sheets>
    <sheet name="Opgave 2" sheetId="1" r:id="rId1"/>
    <sheet name="Ark1" sheetId="2" r:id="rId2"/>
    <sheet name="Ark1 (2)" sheetId="4" r:id="rId3"/>
    <sheet name="Nelson Siegel Svensson estimati" sheetId="3" r:id="rId4"/>
    <sheet name="Vasicek_2023procent" sheetId="10" r:id="rId5"/>
    <sheet name="CIR_2023procent" sheetId="11" r:id="rId6"/>
    <sheet name="Vasicek_2024procent" sheetId="12" r:id="rId7"/>
    <sheet name="CIR_2024procent" sheetId="13" r:id="rId8"/>
    <sheet name="Vasicek_2023" sheetId="5" r:id="rId9"/>
    <sheet name="CIR_2023" sheetId="6" r:id="rId10"/>
    <sheet name="Vasicek_2024" sheetId="7" r:id="rId11"/>
    <sheet name="CIR_2024" sheetId="8" r:id="rId12"/>
    <sheet name="Balancer" sheetId="9" r:id="rId13"/>
    <sheet name="Balancer_swaptions" sheetId="14" r:id="rId14"/>
  </sheets>
  <definedNames>
    <definedName name="_xlnm._FilterDatabase" localSheetId="2" hidden="1">'Ark1 (2)'!$A$7:$D$100</definedName>
    <definedName name="_xlnm._FilterDatabase" localSheetId="9" hidden="1">CIR_2023!$A$3:$F$10</definedName>
    <definedName name="_xlnm._FilterDatabase" localSheetId="5" hidden="1">CIR_2023procent!$A$3:$F$10</definedName>
    <definedName name="_xlnm._FilterDatabase" localSheetId="11" hidden="1">CIR_2024!$A$3:$F$10</definedName>
    <definedName name="_xlnm._FilterDatabase" localSheetId="7" hidden="1">CIR_2024procent!$A$3:$F$10</definedName>
    <definedName name="_xlnm._FilterDatabase" localSheetId="3" hidden="1">'Nelson Siegel Svensson estimati'!$A$3:$F$10</definedName>
    <definedName name="_xlnm._FilterDatabase" localSheetId="8" hidden="1">Vasicek_2023!$A$3:$F$10</definedName>
    <definedName name="_xlnm._FilterDatabase" localSheetId="4" hidden="1">Vasicek_2023procent!$A$3:$F$10</definedName>
    <definedName name="_xlnm._FilterDatabase" localSheetId="10" hidden="1">Vasicek_2024!$A$3:$F$10</definedName>
    <definedName name="_xlnm._FilterDatabase" localSheetId="6" hidden="1">Vasicek_2024procent!$A$3:$F$10</definedName>
    <definedName name="solver_adj" localSheetId="9" hidden="1">CIR_2023!$X$2:$X$4</definedName>
    <definedName name="solver_adj" localSheetId="5" hidden="1">CIR_2023procent!$X$2:$X$4</definedName>
    <definedName name="solver_adj" localSheetId="11" hidden="1">CIR_2024!$X$2:$X$4</definedName>
    <definedName name="solver_adj" localSheetId="7" hidden="1">CIR_2024procent!$X$2:$X$4</definedName>
    <definedName name="solver_adj" localSheetId="3" hidden="1">'Nelson Siegel Svensson estimati'!$V$2:$V$7</definedName>
    <definedName name="solver_adj" localSheetId="8" hidden="1">Vasicek_2023!$X$2:$X$4</definedName>
    <definedName name="solver_adj" localSheetId="4" hidden="1">Vasicek_2023procent!$X$2:$X$4</definedName>
    <definedName name="solver_adj" localSheetId="10" hidden="1">Vasicek_2024!$X$2:$X$4</definedName>
    <definedName name="solver_adj" localSheetId="6" hidden="1">Vasicek_2024procent!$X$2:$X$4</definedName>
    <definedName name="solver_cvg" localSheetId="9" hidden="1">0.0001</definedName>
    <definedName name="solver_cvg" localSheetId="5" hidden="1">0.0001</definedName>
    <definedName name="solver_cvg" localSheetId="11" hidden="1">0.0001</definedName>
    <definedName name="solver_cvg" localSheetId="7" hidden="1">0.0001</definedName>
    <definedName name="solver_cvg" localSheetId="3" hidden="1">0.0001</definedName>
    <definedName name="solver_cvg" localSheetId="8" hidden="1">0.0001</definedName>
    <definedName name="solver_cvg" localSheetId="4" hidden="1">0.0001</definedName>
    <definedName name="solver_cvg" localSheetId="10" hidden="1">0.0001</definedName>
    <definedName name="solver_cvg" localSheetId="6" hidden="1">0.0001</definedName>
    <definedName name="solver_drv" localSheetId="9" hidden="1">1</definedName>
    <definedName name="solver_drv" localSheetId="5" hidden="1">1</definedName>
    <definedName name="solver_drv" localSheetId="11" hidden="1">1</definedName>
    <definedName name="solver_drv" localSheetId="7" hidden="1">1</definedName>
    <definedName name="solver_drv" localSheetId="3" hidden="1">1</definedName>
    <definedName name="solver_drv" localSheetId="8" hidden="1">1</definedName>
    <definedName name="solver_drv" localSheetId="4" hidden="1">1</definedName>
    <definedName name="solver_drv" localSheetId="10" hidden="1">1</definedName>
    <definedName name="solver_drv" localSheetId="6" hidden="1">1</definedName>
    <definedName name="solver_eng" localSheetId="9" hidden="1">1</definedName>
    <definedName name="solver_eng" localSheetId="5" hidden="1">1</definedName>
    <definedName name="solver_eng" localSheetId="11" hidden="1">1</definedName>
    <definedName name="solver_eng" localSheetId="7" hidden="1">1</definedName>
    <definedName name="solver_eng" localSheetId="3" hidden="1">1</definedName>
    <definedName name="solver_eng" localSheetId="8" hidden="1">1</definedName>
    <definedName name="solver_eng" localSheetId="4" hidden="1">1</definedName>
    <definedName name="solver_eng" localSheetId="10" hidden="1">1</definedName>
    <definedName name="solver_eng" localSheetId="6" hidden="1">1</definedName>
    <definedName name="solver_est" localSheetId="9" hidden="1">1</definedName>
    <definedName name="solver_est" localSheetId="5" hidden="1">1</definedName>
    <definedName name="solver_est" localSheetId="11" hidden="1">1</definedName>
    <definedName name="solver_est" localSheetId="7" hidden="1">1</definedName>
    <definedName name="solver_est" localSheetId="3" hidden="1">1</definedName>
    <definedName name="solver_est" localSheetId="8" hidden="1">1</definedName>
    <definedName name="solver_est" localSheetId="4" hidden="1">1</definedName>
    <definedName name="solver_est" localSheetId="10" hidden="1">1</definedName>
    <definedName name="solver_est" localSheetId="6" hidden="1">1</definedName>
    <definedName name="solver_itr" localSheetId="9" hidden="1">2147483647</definedName>
    <definedName name="solver_itr" localSheetId="5" hidden="1">2147483647</definedName>
    <definedName name="solver_itr" localSheetId="11" hidden="1">2147483647</definedName>
    <definedName name="solver_itr" localSheetId="7" hidden="1">2147483647</definedName>
    <definedName name="solver_itr" localSheetId="3" hidden="1">2147483647</definedName>
    <definedName name="solver_itr" localSheetId="8" hidden="1">2147483647</definedName>
    <definedName name="solver_itr" localSheetId="4" hidden="1">2147483647</definedName>
    <definedName name="solver_itr" localSheetId="10" hidden="1">2147483647</definedName>
    <definedName name="solver_itr" localSheetId="6" hidden="1">2147483647</definedName>
    <definedName name="solver_mip" localSheetId="9" hidden="1">2147483647</definedName>
    <definedName name="solver_mip" localSheetId="5" hidden="1">2147483647</definedName>
    <definedName name="solver_mip" localSheetId="11" hidden="1">2147483647</definedName>
    <definedName name="solver_mip" localSheetId="7" hidden="1">2147483647</definedName>
    <definedName name="solver_mip" localSheetId="3" hidden="1">2147483647</definedName>
    <definedName name="solver_mip" localSheetId="8" hidden="1">2147483647</definedName>
    <definedName name="solver_mip" localSheetId="4" hidden="1">2147483647</definedName>
    <definedName name="solver_mip" localSheetId="10" hidden="1">2147483647</definedName>
    <definedName name="solver_mip" localSheetId="6" hidden="1">2147483647</definedName>
    <definedName name="solver_mni" localSheetId="9" hidden="1">30</definedName>
    <definedName name="solver_mni" localSheetId="5" hidden="1">30</definedName>
    <definedName name="solver_mni" localSheetId="11" hidden="1">30</definedName>
    <definedName name="solver_mni" localSheetId="7" hidden="1">30</definedName>
    <definedName name="solver_mni" localSheetId="3" hidden="1">30</definedName>
    <definedName name="solver_mni" localSheetId="8" hidden="1">30</definedName>
    <definedName name="solver_mni" localSheetId="4" hidden="1">30</definedName>
    <definedName name="solver_mni" localSheetId="10" hidden="1">30</definedName>
    <definedName name="solver_mni" localSheetId="6" hidden="1">30</definedName>
    <definedName name="solver_mrt" localSheetId="9" hidden="1">0.075</definedName>
    <definedName name="solver_mrt" localSheetId="5" hidden="1">0.075</definedName>
    <definedName name="solver_mrt" localSheetId="11" hidden="1">0.075</definedName>
    <definedName name="solver_mrt" localSheetId="7" hidden="1">0.075</definedName>
    <definedName name="solver_mrt" localSheetId="3" hidden="1">0.075</definedName>
    <definedName name="solver_mrt" localSheetId="8" hidden="1">0.075</definedName>
    <definedName name="solver_mrt" localSheetId="4" hidden="1">0.075</definedName>
    <definedName name="solver_mrt" localSheetId="10" hidden="1">0.075</definedName>
    <definedName name="solver_mrt" localSheetId="6" hidden="1">0.075</definedName>
    <definedName name="solver_msl" localSheetId="9" hidden="1">2</definedName>
    <definedName name="solver_msl" localSheetId="5" hidden="1">2</definedName>
    <definedName name="solver_msl" localSheetId="11" hidden="1">2</definedName>
    <definedName name="solver_msl" localSheetId="7" hidden="1">2</definedName>
    <definedName name="solver_msl" localSheetId="3" hidden="1">2</definedName>
    <definedName name="solver_msl" localSheetId="8" hidden="1">2</definedName>
    <definedName name="solver_msl" localSheetId="4" hidden="1">2</definedName>
    <definedName name="solver_msl" localSheetId="10" hidden="1">2</definedName>
    <definedName name="solver_msl" localSheetId="6" hidden="1">2</definedName>
    <definedName name="solver_neg" localSheetId="9" hidden="1">2</definedName>
    <definedName name="solver_neg" localSheetId="5" hidden="1">2</definedName>
    <definedName name="solver_neg" localSheetId="11" hidden="1">2</definedName>
    <definedName name="solver_neg" localSheetId="7" hidden="1">2</definedName>
    <definedName name="solver_neg" localSheetId="3" hidden="1">2</definedName>
    <definedName name="solver_neg" localSheetId="8" hidden="1">2</definedName>
    <definedName name="solver_neg" localSheetId="4" hidden="1">2</definedName>
    <definedName name="solver_neg" localSheetId="10" hidden="1">2</definedName>
    <definedName name="solver_neg" localSheetId="6" hidden="1">2</definedName>
    <definedName name="solver_nod" localSheetId="9" hidden="1">2147483647</definedName>
    <definedName name="solver_nod" localSheetId="5" hidden="1">2147483647</definedName>
    <definedName name="solver_nod" localSheetId="11" hidden="1">2147483647</definedName>
    <definedName name="solver_nod" localSheetId="7" hidden="1">2147483647</definedName>
    <definedName name="solver_nod" localSheetId="3" hidden="1">2147483647</definedName>
    <definedName name="solver_nod" localSheetId="8" hidden="1">2147483647</definedName>
    <definedName name="solver_nod" localSheetId="4" hidden="1">2147483647</definedName>
    <definedName name="solver_nod" localSheetId="10" hidden="1">2147483647</definedName>
    <definedName name="solver_nod" localSheetId="6" hidden="1">2147483647</definedName>
    <definedName name="solver_num" localSheetId="9" hidden="1">0</definedName>
    <definedName name="solver_num" localSheetId="5" hidden="1">0</definedName>
    <definedName name="solver_num" localSheetId="11" hidden="1">0</definedName>
    <definedName name="solver_num" localSheetId="7" hidden="1">0</definedName>
    <definedName name="solver_num" localSheetId="3" hidden="1">0</definedName>
    <definedName name="solver_num" localSheetId="8" hidden="1">0</definedName>
    <definedName name="solver_num" localSheetId="4" hidden="1">0</definedName>
    <definedName name="solver_num" localSheetId="10" hidden="1">0</definedName>
    <definedName name="solver_num" localSheetId="6" hidden="1">0</definedName>
    <definedName name="solver_nwt" localSheetId="9" hidden="1">1</definedName>
    <definedName name="solver_nwt" localSheetId="5" hidden="1">1</definedName>
    <definedName name="solver_nwt" localSheetId="11" hidden="1">1</definedName>
    <definedName name="solver_nwt" localSheetId="7" hidden="1">1</definedName>
    <definedName name="solver_nwt" localSheetId="3" hidden="1">1</definedName>
    <definedName name="solver_nwt" localSheetId="8" hidden="1">1</definedName>
    <definedName name="solver_nwt" localSheetId="4" hidden="1">1</definedName>
    <definedName name="solver_nwt" localSheetId="10" hidden="1">1</definedName>
    <definedName name="solver_nwt" localSheetId="6" hidden="1">1</definedName>
    <definedName name="solver_opt" localSheetId="9" hidden="1">CIR_2023!$X$7</definedName>
    <definedName name="solver_opt" localSheetId="5" hidden="1">CIR_2023procent!$X$7</definedName>
    <definedName name="solver_opt" localSheetId="11" hidden="1">CIR_2024!$X$7</definedName>
    <definedName name="solver_opt" localSheetId="7" hidden="1">CIR_2024procent!$X$7</definedName>
    <definedName name="solver_opt" localSheetId="3" hidden="1">'Nelson Siegel Svensson estimati'!$V$10</definedName>
    <definedName name="solver_opt" localSheetId="8" hidden="1">Vasicek_2023!$X$7</definedName>
    <definedName name="solver_opt" localSheetId="4" hidden="1">Vasicek_2023procent!$X$7</definedName>
    <definedName name="solver_opt" localSheetId="10" hidden="1">Vasicek_2024!$X$7</definedName>
    <definedName name="solver_opt" localSheetId="6" hidden="1">Vasicek_2024procent!$X$7</definedName>
    <definedName name="solver_pre" localSheetId="9" hidden="1">0.000001</definedName>
    <definedName name="solver_pre" localSheetId="5" hidden="1">0.000001</definedName>
    <definedName name="solver_pre" localSheetId="11" hidden="1">0.000001</definedName>
    <definedName name="solver_pre" localSheetId="7" hidden="1">0.000001</definedName>
    <definedName name="solver_pre" localSheetId="3" hidden="1">0.000001</definedName>
    <definedName name="solver_pre" localSheetId="8" hidden="1">0.000001</definedName>
    <definedName name="solver_pre" localSheetId="4" hidden="1">0.000001</definedName>
    <definedName name="solver_pre" localSheetId="10" hidden="1">0.000001</definedName>
    <definedName name="solver_pre" localSheetId="6" hidden="1">0.000001</definedName>
    <definedName name="solver_rbv" localSheetId="9" hidden="1">1</definedName>
    <definedName name="solver_rbv" localSheetId="5" hidden="1">1</definedName>
    <definedName name="solver_rbv" localSheetId="11" hidden="1">1</definedName>
    <definedName name="solver_rbv" localSheetId="7" hidden="1">1</definedName>
    <definedName name="solver_rbv" localSheetId="3" hidden="1">1</definedName>
    <definedName name="solver_rbv" localSheetId="8" hidden="1">1</definedName>
    <definedName name="solver_rbv" localSheetId="4" hidden="1">1</definedName>
    <definedName name="solver_rbv" localSheetId="10" hidden="1">1</definedName>
    <definedName name="solver_rbv" localSheetId="6" hidden="1">1</definedName>
    <definedName name="solver_rlx" localSheetId="9" hidden="1">2</definedName>
    <definedName name="solver_rlx" localSheetId="5" hidden="1">2</definedName>
    <definedName name="solver_rlx" localSheetId="11" hidden="1">2</definedName>
    <definedName name="solver_rlx" localSheetId="7" hidden="1">2</definedName>
    <definedName name="solver_rlx" localSheetId="3" hidden="1">2</definedName>
    <definedName name="solver_rlx" localSheetId="8" hidden="1">2</definedName>
    <definedName name="solver_rlx" localSheetId="4" hidden="1">2</definedName>
    <definedName name="solver_rlx" localSheetId="10" hidden="1">2</definedName>
    <definedName name="solver_rlx" localSheetId="6" hidden="1">2</definedName>
    <definedName name="solver_rsd" localSheetId="9" hidden="1">0</definedName>
    <definedName name="solver_rsd" localSheetId="5" hidden="1">0</definedName>
    <definedName name="solver_rsd" localSheetId="11" hidden="1">0</definedName>
    <definedName name="solver_rsd" localSheetId="7" hidden="1">0</definedName>
    <definedName name="solver_rsd" localSheetId="3" hidden="1">0</definedName>
    <definedName name="solver_rsd" localSheetId="8" hidden="1">0</definedName>
    <definedName name="solver_rsd" localSheetId="4" hidden="1">0</definedName>
    <definedName name="solver_rsd" localSheetId="10" hidden="1">0</definedName>
    <definedName name="solver_rsd" localSheetId="6" hidden="1">0</definedName>
    <definedName name="solver_scl" localSheetId="9" hidden="1">1</definedName>
    <definedName name="solver_scl" localSheetId="5" hidden="1">1</definedName>
    <definedName name="solver_scl" localSheetId="11" hidden="1">1</definedName>
    <definedName name="solver_scl" localSheetId="7" hidden="1">1</definedName>
    <definedName name="solver_scl" localSheetId="3" hidden="1">1</definedName>
    <definedName name="solver_scl" localSheetId="8" hidden="1">1</definedName>
    <definedName name="solver_scl" localSheetId="4" hidden="1">1</definedName>
    <definedName name="solver_scl" localSheetId="10" hidden="1">1</definedName>
    <definedName name="solver_scl" localSheetId="6" hidden="1">1</definedName>
    <definedName name="solver_sho" localSheetId="9" hidden="1">2</definedName>
    <definedName name="solver_sho" localSheetId="5" hidden="1">2</definedName>
    <definedName name="solver_sho" localSheetId="11" hidden="1">2</definedName>
    <definedName name="solver_sho" localSheetId="7" hidden="1">2</definedName>
    <definedName name="solver_sho" localSheetId="3" hidden="1">2</definedName>
    <definedName name="solver_sho" localSheetId="8" hidden="1">2</definedName>
    <definedName name="solver_sho" localSheetId="4" hidden="1">2</definedName>
    <definedName name="solver_sho" localSheetId="10" hidden="1">2</definedName>
    <definedName name="solver_sho" localSheetId="6" hidden="1">2</definedName>
    <definedName name="solver_ssz" localSheetId="9" hidden="1">100</definedName>
    <definedName name="solver_ssz" localSheetId="5" hidden="1">100</definedName>
    <definedName name="solver_ssz" localSheetId="11" hidden="1">100</definedName>
    <definedName name="solver_ssz" localSheetId="7" hidden="1">100</definedName>
    <definedName name="solver_ssz" localSheetId="3" hidden="1">100</definedName>
    <definedName name="solver_ssz" localSheetId="8" hidden="1">100</definedName>
    <definedName name="solver_ssz" localSheetId="4" hidden="1">100</definedName>
    <definedName name="solver_ssz" localSheetId="10" hidden="1">100</definedName>
    <definedName name="solver_ssz" localSheetId="6" hidden="1">100</definedName>
    <definedName name="solver_tim" localSheetId="9" hidden="1">2147483647</definedName>
    <definedName name="solver_tim" localSheetId="5" hidden="1">2147483647</definedName>
    <definedName name="solver_tim" localSheetId="11" hidden="1">2147483647</definedName>
    <definedName name="solver_tim" localSheetId="7" hidden="1">2147483647</definedName>
    <definedName name="solver_tim" localSheetId="3" hidden="1">2147483647</definedName>
    <definedName name="solver_tim" localSheetId="8" hidden="1">2147483647</definedName>
    <definedName name="solver_tim" localSheetId="4" hidden="1">2147483647</definedName>
    <definedName name="solver_tim" localSheetId="10" hidden="1">2147483647</definedName>
    <definedName name="solver_tim" localSheetId="6" hidden="1">2147483647</definedName>
    <definedName name="solver_tol" localSheetId="9" hidden="1">0.01</definedName>
    <definedName name="solver_tol" localSheetId="5" hidden="1">0.01</definedName>
    <definedName name="solver_tol" localSheetId="11" hidden="1">0.01</definedName>
    <definedName name="solver_tol" localSheetId="7" hidden="1">0.01</definedName>
    <definedName name="solver_tol" localSheetId="3" hidden="1">0.01</definedName>
    <definedName name="solver_tol" localSheetId="8" hidden="1">0.01</definedName>
    <definedName name="solver_tol" localSheetId="4" hidden="1">0.01</definedName>
    <definedName name="solver_tol" localSheetId="10" hidden="1">0.01</definedName>
    <definedName name="solver_tol" localSheetId="6" hidden="1">0.01</definedName>
    <definedName name="solver_typ" localSheetId="9" hidden="1">2</definedName>
    <definedName name="solver_typ" localSheetId="5" hidden="1">2</definedName>
    <definedName name="solver_typ" localSheetId="11" hidden="1">2</definedName>
    <definedName name="solver_typ" localSheetId="7" hidden="1">2</definedName>
    <definedName name="solver_typ" localSheetId="3" hidden="1">2</definedName>
    <definedName name="solver_typ" localSheetId="8" hidden="1">2</definedName>
    <definedName name="solver_typ" localSheetId="4" hidden="1">2</definedName>
    <definedName name="solver_typ" localSheetId="10" hidden="1">2</definedName>
    <definedName name="solver_typ" localSheetId="6" hidden="1">2</definedName>
    <definedName name="solver_val" localSheetId="9" hidden="1">0</definedName>
    <definedName name="solver_val" localSheetId="5" hidden="1">0</definedName>
    <definedName name="solver_val" localSheetId="11" hidden="1">0</definedName>
    <definedName name="solver_val" localSheetId="7" hidden="1">0</definedName>
    <definedName name="solver_val" localSheetId="3" hidden="1">0</definedName>
    <definedName name="solver_val" localSheetId="8" hidden="1">0</definedName>
    <definedName name="solver_val" localSheetId="4" hidden="1">0</definedName>
    <definedName name="solver_val" localSheetId="10" hidden="1">0</definedName>
    <definedName name="solver_val" localSheetId="6" hidden="1">0</definedName>
    <definedName name="solver_ver" localSheetId="9" hidden="1">3</definedName>
    <definedName name="solver_ver" localSheetId="5" hidden="1">3</definedName>
    <definedName name="solver_ver" localSheetId="11" hidden="1">3</definedName>
    <definedName name="solver_ver" localSheetId="7" hidden="1">3</definedName>
    <definedName name="solver_ver" localSheetId="3" hidden="1">3</definedName>
    <definedName name="solver_ver" localSheetId="8" hidden="1">3</definedName>
    <definedName name="solver_ver" localSheetId="4" hidden="1">3</definedName>
    <definedName name="solver_ver" localSheetId="10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4" l="1"/>
  <c r="J8" i="14"/>
  <c r="C21" i="14"/>
  <c r="C8" i="14"/>
  <c r="C38" i="14"/>
  <c r="E36" i="14" s="1"/>
  <c r="E38" i="14" s="1"/>
  <c r="J34" i="14"/>
  <c r="L32" i="14"/>
  <c r="J32" i="14"/>
  <c r="L19" i="14" a="1"/>
  <c r="L17" i="14" a="1"/>
  <c r="C6" i="14" a="1"/>
  <c r="C4" i="14" a="1"/>
  <c r="J19" i="14" a="1"/>
  <c r="J17" i="14" a="1"/>
  <c r="Z4" i="14" a="1"/>
  <c r="J4" i="14" a="1"/>
  <c r="Q19" i="14" a="1"/>
  <c r="C19" i="14" a="1"/>
  <c r="Z17" i="14" a="1"/>
  <c r="L6" i="14" a="1"/>
  <c r="S17" i="14" a="1"/>
  <c r="E19" i="14" a="1"/>
  <c r="E17" i="14" a="1"/>
  <c r="X4" i="14" a="1"/>
  <c r="C17" i="14" a="1"/>
  <c r="Q4" i="14" a="1"/>
  <c r="L4" i="14" a="1"/>
  <c r="X19" i="14" a="1"/>
  <c r="J6" i="14" a="1"/>
  <c r="E6" i="14" a="1"/>
  <c r="X6" i="14" a="1"/>
  <c r="S4" i="14" a="1"/>
  <c r="Q6" i="14" a="1"/>
  <c r="X17" i="14" a="1"/>
  <c r="Q17" i="14" a="1"/>
  <c r="E4" i="14" a="1"/>
  <c r="N6" i="9" a="1"/>
  <c r="J38" i="14" l="1"/>
  <c r="L36" i="14" s="1"/>
  <c r="L38" i="14" s="1"/>
  <c r="E4" i="14"/>
  <c r="Q17" i="14"/>
  <c r="X17" i="14"/>
  <c r="Q6" i="14"/>
  <c r="S4" i="14"/>
  <c r="X6" i="14"/>
  <c r="E6" i="14"/>
  <c r="S6" i="14" s="1"/>
  <c r="J6" i="14"/>
  <c r="X19" i="14"/>
  <c r="L4" i="14"/>
  <c r="Q4" i="14"/>
  <c r="C17" i="14"/>
  <c r="X4" i="14"/>
  <c r="E17" i="14"/>
  <c r="E19" i="14"/>
  <c r="S19" i="14" s="1"/>
  <c r="S17" i="14"/>
  <c r="L6" i="14"/>
  <c r="Z6" i="14" s="1"/>
  <c r="Z17" i="14"/>
  <c r="C19" i="14"/>
  <c r="Q19" i="14"/>
  <c r="J4" i="14"/>
  <c r="Z4" i="14"/>
  <c r="J17" i="14"/>
  <c r="J19" i="14"/>
  <c r="C4" i="14"/>
  <c r="C6" i="14"/>
  <c r="L17" i="14"/>
  <c r="L19" i="14"/>
  <c r="Z19" i="14" s="1"/>
  <c r="N6" i="9"/>
  <c r="N32" i="9"/>
  <c r="L32" i="9"/>
  <c r="L34" i="9"/>
  <c r="L38" i="9"/>
  <c r="N19" i="9" a="1"/>
  <c r="E19" i="9" a="1"/>
  <c r="E6" i="9" a="1"/>
  <c r="AF4" i="9" a="1"/>
  <c r="AD4" i="9" a="1"/>
  <c r="AD6" i="9" a="1"/>
  <c r="AF17" i="9" a="1"/>
  <c r="AD17" i="9" a="1"/>
  <c r="AD19" i="9" a="1"/>
  <c r="U19" i="9" a="1"/>
  <c r="W17" i="9" a="1"/>
  <c r="U17" i="9" a="1"/>
  <c r="U6" i="9" a="1"/>
  <c r="W4" i="9" a="1"/>
  <c r="U4" i="9" a="1"/>
  <c r="L4" i="9" a="1"/>
  <c r="L6" i="9" a="1"/>
  <c r="N4" i="9" a="1"/>
  <c r="L17" i="9" a="1"/>
  <c r="N17" i="9" a="1"/>
  <c r="L19" i="9" a="1"/>
  <c r="E17" i="9" a="1"/>
  <c r="C19" i="9" a="1"/>
  <c r="C17" i="9" a="1"/>
  <c r="X10" i="14" l="1"/>
  <c r="Z8" i="14" s="1"/>
  <c r="Z10" i="14" s="1"/>
  <c r="Q10" i="14"/>
  <c r="C23" i="14"/>
  <c r="E21" i="14" s="1"/>
  <c r="E23" i="14" s="1"/>
  <c r="C10" i="14"/>
  <c r="E8" i="14" s="1"/>
  <c r="J23" i="14"/>
  <c r="L21" i="14" s="1"/>
  <c r="L23" i="14" s="1"/>
  <c r="J10" i="14"/>
  <c r="L8" i="14" s="1"/>
  <c r="L10" i="14" s="1"/>
  <c r="X23" i="14"/>
  <c r="Z21" i="14" s="1"/>
  <c r="Z23" i="14" s="1"/>
  <c r="Q23" i="14"/>
  <c r="S21" i="14" s="1"/>
  <c r="S23" i="14" s="1"/>
  <c r="N19" i="9"/>
  <c r="AF19" i="9" s="1"/>
  <c r="E19" i="9"/>
  <c r="W19" i="9" s="1"/>
  <c r="E6" i="9"/>
  <c r="N36" i="9"/>
  <c r="N38" i="9" s="1"/>
  <c r="AD6" i="9"/>
  <c r="AD4" i="9"/>
  <c r="AF4" i="9"/>
  <c r="AD19" i="9"/>
  <c r="AD17" i="9"/>
  <c r="AF17" i="9"/>
  <c r="U17" i="9"/>
  <c r="W17" i="9"/>
  <c r="U19" i="9"/>
  <c r="U4" i="9"/>
  <c r="W4" i="9"/>
  <c r="U6" i="9"/>
  <c r="N4" i="9"/>
  <c r="L6" i="9"/>
  <c r="L4" i="9"/>
  <c r="L19" i="9"/>
  <c r="N17" i="9"/>
  <c r="L17" i="9"/>
  <c r="C17" i="9"/>
  <c r="C19" i="9"/>
  <c r="E17" i="9"/>
  <c r="E10" i="14" l="1"/>
  <c r="S8" i="14"/>
  <c r="S10" i="14" s="1"/>
  <c r="Q31" i="14"/>
  <c r="R31" i="14"/>
  <c r="R30" i="14"/>
  <c r="W6" i="9"/>
  <c r="AF6" i="9"/>
  <c r="L23" i="9"/>
  <c r="N21" i="9" s="1"/>
  <c r="N23" i="9" s="1"/>
  <c r="L10" i="9"/>
  <c r="N8" i="9" s="1"/>
  <c r="N10" i="9" s="1"/>
  <c r="AD10" i="9"/>
  <c r="AD23" i="9"/>
  <c r="AF21" i="9" s="1"/>
  <c r="AF23" i="9" s="1"/>
  <c r="U23" i="9"/>
  <c r="W21" i="9" s="1"/>
  <c r="U10" i="9"/>
  <c r="C23" i="9"/>
  <c r="E21" i="9" s="1"/>
  <c r="E23" i="9" s="1"/>
  <c r="C4" i="9" a="1"/>
  <c r="Q30" i="14" l="1"/>
  <c r="W8" i="9"/>
  <c r="W10" i="9" s="1"/>
  <c r="AF8" i="9"/>
  <c r="AF10" i="9" s="1"/>
  <c r="W23" i="9"/>
  <c r="C4" i="9"/>
  <c r="E4" i="9" a="1"/>
  <c r="E4" i="9"/>
  <c r="C6" i="9" a="1"/>
  <c r="C6" i="9" l="1"/>
  <c r="C10" i="9" s="1"/>
  <c r="E8" i="9" s="1"/>
  <c r="E10" i="9" l="1"/>
  <c r="J36" i="13" l="1"/>
  <c r="K36" i="13"/>
  <c r="L36" i="13"/>
  <c r="M36" i="13"/>
  <c r="N36" i="13"/>
  <c r="O36" i="13"/>
  <c r="I36" i="13"/>
  <c r="J36" i="12"/>
  <c r="K36" i="12"/>
  <c r="L36" i="12"/>
  <c r="M36" i="12"/>
  <c r="N36" i="12"/>
  <c r="O36" i="12"/>
  <c r="I36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4" i="12"/>
  <c r="V4" i="12" s="1"/>
  <c r="U5" i="13"/>
  <c r="U6" i="13"/>
  <c r="U7" i="13"/>
  <c r="U8" i="13"/>
  <c r="U9" i="13"/>
  <c r="U10" i="13"/>
  <c r="U11" i="13"/>
  <c r="U12" i="13"/>
  <c r="U13" i="13"/>
  <c r="V13" i="13" s="1"/>
  <c r="U14" i="13"/>
  <c r="V14" i="13" s="1"/>
  <c r="U15" i="13"/>
  <c r="V15" i="13" s="1"/>
  <c r="U16" i="13"/>
  <c r="V16" i="13" s="1"/>
  <c r="U17" i="13"/>
  <c r="V17" i="13" s="1"/>
  <c r="U18" i="13"/>
  <c r="V18" i="13" s="1"/>
  <c r="U19" i="13"/>
  <c r="V19" i="13" s="1"/>
  <c r="U20" i="13"/>
  <c r="V20" i="13" s="1"/>
  <c r="U21" i="13"/>
  <c r="U22" i="13"/>
  <c r="U23" i="13"/>
  <c r="U24" i="13"/>
  <c r="U25" i="13"/>
  <c r="U26" i="13"/>
  <c r="U27" i="13"/>
  <c r="U28" i="13"/>
  <c r="U29" i="13"/>
  <c r="V29" i="13" s="1"/>
  <c r="U30" i="13"/>
  <c r="V30" i="13" s="1"/>
  <c r="U31" i="13"/>
  <c r="V31" i="13" s="1"/>
  <c r="U32" i="13"/>
  <c r="V32" i="13" s="1"/>
  <c r="U33" i="13"/>
  <c r="V33" i="13" s="1"/>
  <c r="V5" i="13"/>
  <c r="V6" i="13"/>
  <c r="V7" i="13"/>
  <c r="V8" i="13"/>
  <c r="V9" i="13"/>
  <c r="V10" i="13"/>
  <c r="V11" i="13"/>
  <c r="V12" i="13"/>
  <c r="V21" i="13"/>
  <c r="V22" i="13"/>
  <c r="V23" i="13"/>
  <c r="V24" i="13"/>
  <c r="V25" i="13"/>
  <c r="V26" i="13"/>
  <c r="V27" i="13"/>
  <c r="V28" i="13"/>
  <c r="U4" i="13"/>
  <c r="V4" i="13" s="1"/>
  <c r="I35" i="13" a="1"/>
  <c r="I35" i="13" s="1"/>
  <c r="E10" i="13"/>
  <c r="F10" i="13" s="1"/>
  <c r="E9" i="13"/>
  <c r="F9" i="13" s="1"/>
  <c r="E8" i="13"/>
  <c r="F8" i="13" s="1"/>
  <c r="E7" i="13"/>
  <c r="F7" i="13" s="1"/>
  <c r="X6" i="13"/>
  <c r="E6" i="13"/>
  <c r="F6" i="13" s="1"/>
  <c r="Q5" i="13"/>
  <c r="O5" i="13"/>
  <c r="N5" i="13"/>
  <c r="H5" i="13"/>
  <c r="M5" i="13" s="1"/>
  <c r="E5" i="13"/>
  <c r="F5" i="13" s="1"/>
  <c r="Q4" i="13"/>
  <c r="S4" i="13" s="1"/>
  <c r="O4" i="13"/>
  <c r="N4" i="13"/>
  <c r="M4" i="13"/>
  <c r="E4" i="13"/>
  <c r="F4" i="13" s="1"/>
  <c r="I3" i="13" a="1"/>
  <c r="I3" i="13" s="1"/>
  <c r="I2" i="13" a="1"/>
  <c r="L4" i="13" s="1"/>
  <c r="I1" i="13" a="1"/>
  <c r="I1" i="13" s="1"/>
  <c r="I35" i="12" a="1"/>
  <c r="I35" i="12" s="1"/>
  <c r="E10" i="12"/>
  <c r="F10" i="12" s="1"/>
  <c r="E9" i="12"/>
  <c r="F9" i="12" s="1"/>
  <c r="E8" i="12"/>
  <c r="F8" i="12" s="1"/>
  <c r="F7" i="12"/>
  <c r="E7" i="12"/>
  <c r="E6" i="12"/>
  <c r="F6" i="12" s="1"/>
  <c r="Q5" i="12"/>
  <c r="S5" i="12" s="1"/>
  <c r="R5" i="12" s="1"/>
  <c r="T5" i="12" s="1"/>
  <c r="O5" i="12"/>
  <c r="N5" i="12"/>
  <c r="M5" i="12"/>
  <c r="H5" i="12"/>
  <c r="L5" i="12" s="1"/>
  <c r="E5" i="12"/>
  <c r="F5" i="12" s="1"/>
  <c r="Q4" i="12"/>
  <c r="O4" i="12"/>
  <c r="N4" i="12"/>
  <c r="M4" i="12"/>
  <c r="L4" i="12"/>
  <c r="E4" i="12"/>
  <c r="F4" i="12" s="1"/>
  <c r="I3" i="12" a="1"/>
  <c r="I3" i="12" s="1"/>
  <c r="I2" i="12" a="1"/>
  <c r="K4" i="12" s="1"/>
  <c r="I1" i="12" a="1"/>
  <c r="J4" i="12" s="1"/>
  <c r="R5" i="13" l="1"/>
  <c r="T5" i="13" s="1"/>
  <c r="S5" i="13"/>
  <c r="R4" i="13"/>
  <c r="T4" i="13" s="1"/>
  <c r="I2" i="13"/>
  <c r="I4" i="13" s="1"/>
  <c r="H6" i="13"/>
  <c r="I5" i="13"/>
  <c r="J5" i="13"/>
  <c r="J4" i="13"/>
  <c r="K5" i="13"/>
  <c r="K4" i="13"/>
  <c r="L5" i="13"/>
  <c r="H6" i="12"/>
  <c r="I1" i="12"/>
  <c r="S4" i="12"/>
  <c r="R4" i="12" s="1"/>
  <c r="T4" i="12" s="1"/>
  <c r="I2" i="12"/>
  <c r="I5" i="12"/>
  <c r="J5" i="12"/>
  <c r="K5" i="12"/>
  <c r="U39" i="8"/>
  <c r="U39" i="7"/>
  <c r="U39" i="6"/>
  <c r="U39" i="5"/>
  <c r="U39" i="11"/>
  <c r="I35" i="10" a="1"/>
  <c r="I35" i="10" s="1"/>
  <c r="J36" i="11"/>
  <c r="K36" i="11"/>
  <c r="L36" i="11"/>
  <c r="M36" i="11"/>
  <c r="N36" i="11"/>
  <c r="O36" i="11"/>
  <c r="V11" i="10"/>
  <c r="U5" i="10"/>
  <c r="V5" i="10" s="1"/>
  <c r="U6" i="10"/>
  <c r="V6" i="10" s="1"/>
  <c r="U7" i="10"/>
  <c r="V7" i="10" s="1"/>
  <c r="U8" i="10"/>
  <c r="V8" i="10" s="1"/>
  <c r="U9" i="10"/>
  <c r="V9" i="10" s="1"/>
  <c r="U10" i="10"/>
  <c r="V10" i="10" s="1"/>
  <c r="U11" i="10"/>
  <c r="U12" i="10"/>
  <c r="V12" i="10" s="1"/>
  <c r="U13" i="10"/>
  <c r="V13" i="10" s="1"/>
  <c r="U14" i="10"/>
  <c r="V14" i="10" s="1"/>
  <c r="U15" i="10"/>
  <c r="V15" i="10" s="1"/>
  <c r="U16" i="10"/>
  <c r="V16" i="10" s="1"/>
  <c r="U17" i="10"/>
  <c r="V17" i="10" s="1"/>
  <c r="U18" i="10"/>
  <c r="V18" i="10" s="1"/>
  <c r="U19" i="10"/>
  <c r="V19" i="10" s="1"/>
  <c r="U20" i="10"/>
  <c r="V20" i="10" s="1"/>
  <c r="U21" i="10"/>
  <c r="V21" i="10" s="1"/>
  <c r="U22" i="10"/>
  <c r="V22" i="10" s="1"/>
  <c r="U23" i="10"/>
  <c r="V23" i="10" s="1"/>
  <c r="U24" i="10"/>
  <c r="V24" i="10" s="1"/>
  <c r="U25" i="10"/>
  <c r="V25" i="10" s="1"/>
  <c r="U26" i="10"/>
  <c r="V26" i="10" s="1"/>
  <c r="U27" i="10"/>
  <c r="V27" i="10" s="1"/>
  <c r="U28" i="10"/>
  <c r="V28" i="10" s="1"/>
  <c r="U29" i="10"/>
  <c r="V29" i="10" s="1"/>
  <c r="U30" i="10"/>
  <c r="V30" i="10" s="1"/>
  <c r="U31" i="10"/>
  <c r="V31" i="10" s="1"/>
  <c r="U32" i="10"/>
  <c r="V32" i="10" s="1"/>
  <c r="U33" i="10"/>
  <c r="V33" i="10" s="1"/>
  <c r="U4" i="10"/>
  <c r="V4" i="10" s="1"/>
  <c r="U5" i="11"/>
  <c r="U6" i="11"/>
  <c r="U7" i="11"/>
  <c r="V7" i="11" s="1"/>
  <c r="U8" i="11"/>
  <c r="V8" i="11" s="1"/>
  <c r="U9" i="11"/>
  <c r="V9" i="11" s="1"/>
  <c r="U10" i="11"/>
  <c r="V10" i="11" s="1"/>
  <c r="U11" i="11"/>
  <c r="V11" i="11" s="1"/>
  <c r="U12" i="11"/>
  <c r="V12" i="11" s="1"/>
  <c r="U13" i="11"/>
  <c r="V13" i="11" s="1"/>
  <c r="U14" i="11"/>
  <c r="V14" i="11" s="1"/>
  <c r="U15" i="11"/>
  <c r="V15" i="11" s="1"/>
  <c r="U16" i="11"/>
  <c r="V16" i="11" s="1"/>
  <c r="U17" i="11"/>
  <c r="V17" i="11" s="1"/>
  <c r="U18" i="11"/>
  <c r="V18" i="11" s="1"/>
  <c r="U19" i="11"/>
  <c r="V19" i="11" s="1"/>
  <c r="U20" i="11"/>
  <c r="V20" i="11" s="1"/>
  <c r="U21" i="11"/>
  <c r="V21" i="11" s="1"/>
  <c r="U22" i="11"/>
  <c r="V22" i="11" s="1"/>
  <c r="U23" i="11"/>
  <c r="V23" i="11" s="1"/>
  <c r="U24" i="11"/>
  <c r="V24" i="11" s="1"/>
  <c r="U25" i="11"/>
  <c r="V25" i="11" s="1"/>
  <c r="U26" i="11"/>
  <c r="V26" i="11" s="1"/>
  <c r="U27" i="11"/>
  <c r="V27" i="11" s="1"/>
  <c r="U28" i="11"/>
  <c r="V28" i="11" s="1"/>
  <c r="U29" i="11"/>
  <c r="V29" i="11" s="1"/>
  <c r="U30" i="11"/>
  <c r="V30" i="11" s="1"/>
  <c r="U31" i="11"/>
  <c r="V31" i="11" s="1"/>
  <c r="U32" i="11"/>
  <c r="V32" i="11" s="1"/>
  <c r="U33" i="11"/>
  <c r="V33" i="11" s="1"/>
  <c r="U4" i="11"/>
  <c r="V4" i="11" s="1"/>
  <c r="V5" i="11"/>
  <c r="V6" i="11"/>
  <c r="I35" i="11"/>
  <c r="I35" i="11" a="1"/>
  <c r="E10" i="11"/>
  <c r="F10" i="11" s="1"/>
  <c r="E9" i="11"/>
  <c r="F9" i="11" s="1"/>
  <c r="E8" i="11"/>
  <c r="F8" i="11" s="1"/>
  <c r="E7" i="11"/>
  <c r="F7" i="11" s="1"/>
  <c r="X6" i="11"/>
  <c r="E6" i="11"/>
  <c r="F6" i="11" s="1"/>
  <c r="S5" i="11"/>
  <c r="Q5" i="11"/>
  <c r="M5" i="11"/>
  <c r="H5" i="11"/>
  <c r="K5" i="11" s="1"/>
  <c r="E5" i="11"/>
  <c r="F5" i="11" s="1"/>
  <c r="R4" i="11"/>
  <c r="Q4" i="11"/>
  <c r="L4" i="11"/>
  <c r="K4" i="11"/>
  <c r="E4" i="11"/>
  <c r="F4" i="11" s="1"/>
  <c r="I3" i="11" a="1"/>
  <c r="I3" i="11" s="1"/>
  <c r="I2" i="11" a="1"/>
  <c r="L5" i="11" s="1"/>
  <c r="I1" i="11" a="1"/>
  <c r="I1" i="11" s="1"/>
  <c r="E10" i="10"/>
  <c r="F10" i="10" s="1"/>
  <c r="E9" i="10"/>
  <c r="F9" i="10" s="1"/>
  <c r="E8" i="10"/>
  <c r="F8" i="10" s="1"/>
  <c r="E7" i="10"/>
  <c r="F7" i="10" s="1"/>
  <c r="E6" i="10"/>
  <c r="F6" i="10" s="1"/>
  <c r="Q5" i="10"/>
  <c r="S5" i="10" s="1"/>
  <c r="R5" i="10" s="1"/>
  <c r="T5" i="10" s="1"/>
  <c r="L5" i="10"/>
  <c r="H5" i="10"/>
  <c r="J5" i="10" s="1"/>
  <c r="E5" i="10"/>
  <c r="F5" i="10" s="1"/>
  <c r="Q4" i="10"/>
  <c r="S4" i="10" s="1"/>
  <c r="R4" i="10" s="1"/>
  <c r="T4" i="10" s="1"/>
  <c r="O4" i="10"/>
  <c r="K4" i="10"/>
  <c r="E4" i="10"/>
  <c r="F4" i="10" s="1"/>
  <c r="I3" i="10" a="1"/>
  <c r="I3" i="10" s="1"/>
  <c r="I2" i="10" a="1"/>
  <c r="K5" i="10" s="1"/>
  <c r="I1" i="10" a="1"/>
  <c r="I1" i="10" s="1"/>
  <c r="I35" i="8"/>
  <c r="I35" i="8" a="1"/>
  <c r="E10" i="8"/>
  <c r="F10" i="8" s="1"/>
  <c r="E9" i="8"/>
  <c r="F9" i="8" s="1"/>
  <c r="E8" i="8"/>
  <c r="F8" i="8" s="1"/>
  <c r="E7" i="8"/>
  <c r="F7" i="8" s="1"/>
  <c r="X6" i="8"/>
  <c r="E6" i="8"/>
  <c r="F6" i="8" s="1"/>
  <c r="H5" i="8"/>
  <c r="K5" i="8" s="1"/>
  <c r="E5" i="8"/>
  <c r="F5" i="8" s="1"/>
  <c r="Q4" i="8"/>
  <c r="R4" i="8" s="1"/>
  <c r="E4" i="8"/>
  <c r="F4" i="8" s="1"/>
  <c r="I3" i="8" a="1"/>
  <c r="I3" i="8" s="1"/>
  <c r="I2" i="8" a="1"/>
  <c r="I1" i="8" a="1"/>
  <c r="I1" i="8" s="1"/>
  <c r="I35" i="7"/>
  <c r="I35" i="7" a="1"/>
  <c r="E10" i="7"/>
  <c r="F10" i="7" s="1"/>
  <c r="E9" i="7"/>
  <c r="F9" i="7" s="1"/>
  <c r="E8" i="7"/>
  <c r="F8" i="7" s="1"/>
  <c r="E7" i="7"/>
  <c r="F7" i="7" s="1"/>
  <c r="E6" i="7"/>
  <c r="F6" i="7" s="1"/>
  <c r="H5" i="7"/>
  <c r="J5" i="7" s="1"/>
  <c r="E5" i="7"/>
  <c r="F5" i="7" s="1"/>
  <c r="Q4" i="7"/>
  <c r="O4" i="7"/>
  <c r="N4" i="7"/>
  <c r="M4" i="7"/>
  <c r="L4" i="7"/>
  <c r="K4" i="7"/>
  <c r="J4" i="7"/>
  <c r="E4" i="7"/>
  <c r="F4" i="7" s="1"/>
  <c r="I3" i="7" a="1"/>
  <c r="I3" i="7" s="1"/>
  <c r="I2" i="7" a="1"/>
  <c r="I2" i="7" s="1"/>
  <c r="I4" i="7" s="1"/>
  <c r="I1" i="7" a="1"/>
  <c r="I1" i="7" s="1"/>
  <c r="I35" i="6" a="1"/>
  <c r="I35" i="6" s="1"/>
  <c r="I35" i="5" a="1"/>
  <c r="I35" i="5" s="1"/>
  <c r="X6" i="6"/>
  <c r="E10" i="6"/>
  <c r="F10" i="6" s="1"/>
  <c r="E9" i="6"/>
  <c r="F9" i="6" s="1"/>
  <c r="E8" i="6"/>
  <c r="F8" i="6" s="1"/>
  <c r="E7" i="6"/>
  <c r="F7" i="6" s="1"/>
  <c r="E6" i="6"/>
  <c r="F6" i="6" s="1"/>
  <c r="N5" i="6"/>
  <c r="M5" i="6"/>
  <c r="L5" i="6"/>
  <c r="K5" i="6"/>
  <c r="H5" i="6"/>
  <c r="J5" i="6" s="1"/>
  <c r="E5" i="6"/>
  <c r="F5" i="6" s="1"/>
  <c r="Q4" i="6"/>
  <c r="R4" i="6" s="1"/>
  <c r="M4" i="6"/>
  <c r="L4" i="6"/>
  <c r="K4" i="6"/>
  <c r="J4" i="6"/>
  <c r="E4" i="6"/>
  <c r="F4" i="6" s="1"/>
  <c r="I3" i="6" a="1"/>
  <c r="I3" i="6" s="1"/>
  <c r="I2" i="6" a="1"/>
  <c r="I2" i="6" s="1"/>
  <c r="I1" i="6" a="1"/>
  <c r="I1" i="6" s="1"/>
  <c r="E10" i="5"/>
  <c r="F10" i="5" s="1"/>
  <c r="E9" i="5"/>
  <c r="F9" i="5" s="1"/>
  <c r="E8" i="5"/>
  <c r="F8" i="5" s="1"/>
  <c r="E7" i="5"/>
  <c r="F7" i="5" s="1"/>
  <c r="E6" i="5"/>
  <c r="F6" i="5" s="1"/>
  <c r="H5" i="5"/>
  <c r="Q5" i="5" s="1"/>
  <c r="E5" i="5"/>
  <c r="F5" i="5" s="1"/>
  <c r="Q4" i="5"/>
  <c r="S4" i="5" s="1"/>
  <c r="R4" i="5" s="1"/>
  <c r="T4" i="5" s="1"/>
  <c r="U4" i="5" s="1"/>
  <c r="E4" i="5"/>
  <c r="F4" i="5" s="1"/>
  <c r="I3" i="5" a="1"/>
  <c r="I3" i="5" s="1"/>
  <c r="I2" i="5" a="1"/>
  <c r="N4" i="5" s="1"/>
  <c r="I1" i="5" a="1"/>
  <c r="I1" i="5" s="1"/>
  <c r="I3" i="3" a="1"/>
  <c r="I3" i="3" s="1"/>
  <c r="I2" i="3" a="1"/>
  <c r="I2" i="3" s="1"/>
  <c r="I1" i="3" a="1"/>
  <c r="I1" i="3" s="1"/>
  <c r="C9" i="4"/>
  <c r="B9" i="4" s="1"/>
  <c r="D9" i="4" s="1"/>
  <c r="P6" i="4" s="1"/>
  <c r="C10" i="4"/>
  <c r="B10" i="4" s="1"/>
  <c r="D10" i="4" s="1"/>
  <c r="S6" i="4" s="1"/>
  <c r="C11" i="4"/>
  <c r="B11" i="4" s="1"/>
  <c r="D11" i="4" s="1"/>
  <c r="V7" i="4" s="1"/>
  <c r="C12" i="4"/>
  <c r="B12" i="4" s="1"/>
  <c r="D12" i="4" s="1"/>
  <c r="P7" i="4" s="1"/>
  <c r="C13" i="4"/>
  <c r="B13" i="4" s="1"/>
  <c r="D13" i="4" s="1"/>
  <c r="S7" i="4" s="1"/>
  <c r="C14" i="4"/>
  <c r="B14" i="4" s="1"/>
  <c r="D14" i="4" s="1"/>
  <c r="V8" i="4" s="1"/>
  <c r="C15" i="4"/>
  <c r="B15" i="4" s="1"/>
  <c r="D15" i="4" s="1"/>
  <c r="M8" i="4" s="1"/>
  <c r="C16" i="4"/>
  <c r="B16" i="4" s="1"/>
  <c r="D16" i="4" s="1"/>
  <c r="S8" i="4" s="1"/>
  <c r="C17" i="4"/>
  <c r="B17" i="4" s="1"/>
  <c r="D17" i="4" s="1"/>
  <c r="Y9" i="4" s="1"/>
  <c r="C18" i="4"/>
  <c r="B18" i="4" s="1"/>
  <c r="D18" i="4" s="1"/>
  <c r="M9" i="4" s="1"/>
  <c r="C19" i="4"/>
  <c r="B19" i="4" s="1"/>
  <c r="D19" i="4" s="1"/>
  <c r="S9" i="4" s="1"/>
  <c r="C20" i="4"/>
  <c r="B20" i="4" s="1"/>
  <c r="D20" i="4" s="1"/>
  <c r="AB10" i="4" s="1"/>
  <c r="C21" i="4"/>
  <c r="B21" i="4" s="1"/>
  <c r="D21" i="4" s="1"/>
  <c r="M10" i="4" s="1"/>
  <c r="C22" i="4"/>
  <c r="B22" i="4" s="1"/>
  <c r="D22" i="4" s="1"/>
  <c r="S10" i="4" s="1"/>
  <c r="C23" i="4"/>
  <c r="B23" i="4" s="1"/>
  <c r="D23" i="4" s="1"/>
  <c r="AE11" i="4" s="1"/>
  <c r="C24" i="4"/>
  <c r="B24" i="4" s="1"/>
  <c r="D24" i="4" s="1"/>
  <c r="M11" i="4" s="1"/>
  <c r="C25" i="4"/>
  <c r="B25" i="4" s="1"/>
  <c r="D25" i="4" s="1"/>
  <c r="S11" i="4" s="1"/>
  <c r="C26" i="4"/>
  <c r="B26" i="4" s="1"/>
  <c r="D26" i="4" s="1"/>
  <c r="V12" i="4" s="1"/>
  <c r="C27" i="4"/>
  <c r="B27" i="4" s="1"/>
  <c r="D27" i="4" s="1"/>
  <c r="M12" i="4" s="1"/>
  <c r="C28" i="4"/>
  <c r="B28" i="4" s="1"/>
  <c r="D28" i="4" s="1"/>
  <c r="S12" i="4" s="1"/>
  <c r="C29" i="4"/>
  <c r="B29" i="4" s="1"/>
  <c r="D29" i="4" s="1"/>
  <c r="V13" i="4" s="1"/>
  <c r="C30" i="4"/>
  <c r="B30" i="4" s="1"/>
  <c r="D30" i="4" s="1"/>
  <c r="C31" i="4"/>
  <c r="B31" i="4" s="1"/>
  <c r="D31" i="4" s="1"/>
  <c r="S13" i="4" s="1"/>
  <c r="C32" i="4"/>
  <c r="B32" i="4" s="1"/>
  <c r="D32" i="4" s="1"/>
  <c r="V14" i="4" s="1"/>
  <c r="C33" i="4"/>
  <c r="B33" i="4" s="1"/>
  <c r="D33" i="4" s="1"/>
  <c r="M14" i="4" s="1"/>
  <c r="C34" i="4"/>
  <c r="B34" i="4" s="1"/>
  <c r="D34" i="4" s="1"/>
  <c r="S14" i="4" s="1"/>
  <c r="C35" i="4"/>
  <c r="B35" i="4" s="1"/>
  <c r="D35" i="4" s="1"/>
  <c r="V15" i="4" s="1"/>
  <c r="C36" i="4"/>
  <c r="B36" i="4" s="1"/>
  <c r="D36" i="4" s="1"/>
  <c r="P15" i="4" s="1"/>
  <c r="C37" i="4"/>
  <c r="B37" i="4" s="1"/>
  <c r="D37" i="4" s="1"/>
  <c r="S15" i="4" s="1"/>
  <c r="C38" i="4"/>
  <c r="B38" i="4" s="1"/>
  <c r="D38" i="4" s="1"/>
  <c r="V16" i="4" s="1"/>
  <c r="C39" i="4"/>
  <c r="B39" i="4" s="1"/>
  <c r="D39" i="4" s="1"/>
  <c r="P16" i="4" s="1"/>
  <c r="C40" i="4"/>
  <c r="B40" i="4" s="1"/>
  <c r="D40" i="4" s="1"/>
  <c r="S16" i="4" s="1"/>
  <c r="C41" i="4"/>
  <c r="B41" i="4" s="1"/>
  <c r="D41" i="4" s="1"/>
  <c r="V17" i="4" s="1"/>
  <c r="C42" i="4"/>
  <c r="B42" i="4" s="1"/>
  <c r="D42" i="4" s="1"/>
  <c r="P17" i="4" s="1"/>
  <c r="C43" i="4"/>
  <c r="B43" i="4" s="1"/>
  <c r="D43" i="4" s="1"/>
  <c r="S17" i="4" s="1"/>
  <c r="C44" i="4"/>
  <c r="B44" i="4" s="1"/>
  <c r="D44" i="4" s="1"/>
  <c r="V18" i="4" s="1"/>
  <c r="C45" i="4"/>
  <c r="B45" i="4" s="1"/>
  <c r="D45" i="4" s="1"/>
  <c r="C46" i="4"/>
  <c r="B46" i="4" s="1"/>
  <c r="D46" i="4" s="1"/>
  <c r="S18" i="4" s="1"/>
  <c r="C47" i="4"/>
  <c r="B47" i="4" s="1"/>
  <c r="D47" i="4" s="1"/>
  <c r="V19" i="4" s="1"/>
  <c r="C48" i="4"/>
  <c r="B48" i="4" s="1"/>
  <c r="D48" i="4" s="1"/>
  <c r="P19" i="4" s="1"/>
  <c r="C49" i="4"/>
  <c r="B49" i="4" s="1"/>
  <c r="D49" i="4" s="1"/>
  <c r="S19" i="4" s="1"/>
  <c r="C50" i="4"/>
  <c r="B50" i="4" s="1"/>
  <c r="D50" i="4" s="1"/>
  <c r="V20" i="4" s="1"/>
  <c r="C51" i="4"/>
  <c r="B51" i="4" s="1"/>
  <c r="D51" i="4" s="1"/>
  <c r="P20" i="4" s="1"/>
  <c r="C52" i="4"/>
  <c r="B52" i="4" s="1"/>
  <c r="D52" i="4" s="1"/>
  <c r="S20" i="4" s="1"/>
  <c r="C53" i="4"/>
  <c r="B53" i="4" s="1"/>
  <c r="D53" i="4" s="1"/>
  <c r="V21" i="4" s="1"/>
  <c r="C54" i="4"/>
  <c r="B54" i="4" s="1"/>
  <c r="D54" i="4" s="1"/>
  <c r="P21" i="4" s="1"/>
  <c r="C55" i="4"/>
  <c r="B55" i="4" s="1"/>
  <c r="D55" i="4" s="1"/>
  <c r="S21" i="4" s="1"/>
  <c r="C56" i="4"/>
  <c r="B56" i="4" s="1"/>
  <c r="D56" i="4" s="1"/>
  <c r="V22" i="4" s="1"/>
  <c r="C57" i="4"/>
  <c r="B57" i="4" s="1"/>
  <c r="D57" i="4" s="1"/>
  <c r="P22" i="4" s="1"/>
  <c r="C58" i="4"/>
  <c r="B58" i="4" s="1"/>
  <c r="D58" i="4" s="1"/>
  <c r="S22" i="4" s="1"/>
  <c r="C59" i="4"/>
  <c r="B59" i="4" s="1"/>
  <c r="D59" i="4" s="1"/>
  <c r="V23" i="4" s="1"/>
  <c r="C60" i="4"/>
  <c r="B60" i="4" s="1"/>
  <c r="D60" i="4" s="1"/>
  <c r="M23" i="4" s="1"/>
  <c r="C61" i="4"/>
  <c r="B61" i="4" s="1"/>
  <c r="D61" i="4" s="1"/>
  <c r="S23" i="4" s="1"/>
  <c r="C62" i="4"/>
  <c r="B62" i="4" s="1"/>
  <c r="D62" i="4" s="1"/>
  <c r="V24" i="4" s="1"/>
  <c r="C63" i="4"/>
  <c r="B63" i="4" s="1"/>
  <c r="D63" i="4" s="1"/>
  <c r="M24" i="4" s="1"/>
  <c r="C64" i="4"/>
  <c r="B64" i="4" s="1"/>
  <c r="D64" i="4" s="1"/>
  <c r="S24" i="4" s="1"/>
  <c r="C65" i="4"/>
  <c r="B65" i="4" s="1"/>
  <c r="D65" i="4" s="1"/>
  <c r="Y25" i="4" s="1"/>
  <c r="C66" i="4"/>
  <c r="B66" i="4" s="1"/>
  <c r="D66" i="4" s="1"/>
  <c r="M25" i="4" s="1"/>
  <c r="C67" i="4"/>
  <c r="B67" i="4" s="1"/>
  <c r="D67" i="4" s="1"/>
  <c r="S25" i="4" s="1"/>
  <c r="C68" i="4"/>
  <c r="B68" i="4" s="1"/>
  <c r="D68" i="4" s="1"/>
  <c r="AB26" i="4" s="1"/>
  <c r="C69" i="4"/>
  <c r="B69" i="4" s="1"/>
  <c r="D69" i="4" s="1"/>
  <c r="M26" i="4" s="1"/>
  <c r="C70" i="4"/>
  <c r="B70" i="4" s="1"/>
  <c r="D70" i="4" s="1"/>
  <c r="S26" i="4" s="1"/>
  <c r="C71" i="4"/>
  <c r="B71" i="4" s="1"/>
  <c r="D71" i="4" s="1"/>
  <c r="AE27" i="4" s="1"/>
  <c r="C72" i="4"/>
  <c r="B72" i="4" s="1"/>
  <c r="D72" i="4" s="1"/>
  <c r="M27" i="4" s="1"/>
  <c r="C73" i="4"/>
  <c r="B73" i="4" s="1"/>
  <c r="D73" i="4" s="1"/>
  <c r="S27" i="4" s="1"/>
  <c r="C74" i="4"/>
  <c r="B74" i="4" s="1"/>
  <c r="D74" i="4" s="1"/>
  <c r="V28" i="4" s="1"/>
  <c r="C75" i="4"/>
  <c r="B75" i="4" s="1"/>
  <c r="D75" i="4" s="1"/>
  <c r="M28" i="4" s="1"/>
  <c r="C76" i="4"/>
  <c r="B76" i="4" s="1"/>
  <c r="D76" i="4" s="1"/>
  <c r="S28" i="4" s="1"/>
  <c r="C77" i="4"/>
  <c r="B77" i="4" s="1"/>
  <c r="D77" i="4" s="1"/>
  <c r="AE29" i="4" s="1"/>
  <c r="C78" i="4"/>
  <c r="B78" i="4" s="1"/>
  <c r="D78" i="4" s="1"/>
  <c r="C79" i="4"/>
  <c r="B79" i="4" s="1"/>
  <c r="D79" i="4" s="1"/>
  <c r="S29" i="4" s="1"/>
  <c r="C80" i="4"/>
  <c r="B80" i="4" s="1"/>
  <c r="D80" i="4" s="1"/>
  <c r="V30" i="4" s="1"/>
  <c r="C81" i="4"/>
  <c r="B81" i="4" s="1"/>
  <c r="D81" i="4" s="1"/>
  <c r="M30" i="4" s="1"/>
  <c r="C82" i="4"/>
  <c r="B82" i="4" s="1"/>
  <c r="D82" i="4" s="1"/>
  <c r="S30" i="4" s="1"/>
  <c r="C83" i="4"/>
  <c r="B83" i="4" s="1"/>
  <c r="D83" i="4" s="1"/>
  <c r="V31" i="4" s="1"/>
  <c r="C84" i="4"/>
  <c r="B84" i="4" s="1"/>
  <c r="D84" i="4" s="1"/>
  <c r="P31" i="4" s="1"/>
  <c r="C85" i="4"/>
  <c r="B85" i="4" s="1"/>
  <c r="D85" i="4" s="1"/>
  <c r="S31" i="4" s="1"/>
  <c r="C86" i="4"/>
  <c r="B86" i="4" s="1"/>
  <c r="D86" i="4" s="1"/>
  <c r="V32" i="4" s="1"/>
  <c r="C87" i="4"/>
  <c r="B87" i="4" s="1"/>
  <c r="D87" i="4" s="1"/>
  <c r="P32" i="4" s="1"/>
  <c r="C88" i="4"/>
  <c r="B88" i="4" s="1"/>
  <c r="D88" i="4" s="1"/>
  <c r="S32" i="4" s="1"/>
  <c r="C89" i="4"/>
  <c r="B89" i="4" s="1"/>
  <c r="D89" i="4" s="1"/>
  <c r="V33" i="4" s="1"/>
  <c r="C90" i="4"/>
  <c r="B90" i="4" s="1"/>
  <c r="D90" i="4" s="1"/>
  <c r="P33" i="4" s="1"/>
  <c r="C91" i="4"/>
  <c r="B91" i="4" s="1"/>
  <c r="D91" i="4" s="1"/>
  <c r="S33" i="4" s="1"/>
  <c r="C92" i="4"/>
  <c r="B92" i="4" s="1"/>
  <c r="D92" i="4" s="1"/>
  <c r="V34" i="4" s="1"/>
  <c r="C93" i="4"/>
  <c r="B93" i="4" s="1"/>
  <c r="D93" i="4" s="1"/>
  <c r="P34" i="4" s="1"/>
  <c r="C94" i="4"/>
  <c r="B94" i="4" s="1"/>
  <c r="D94" i="4" s="1"/>
  <c r="S34" i="4" s="1"/>
  <c r="C95" i="4"/>
  <c r="B95" i="4" s="1"/>
  <c r="D95" i="4" s="1"/>
  <c r="V35" i="4" s="1"/>
  <c r="C96" i="4"/>
  <c r="B96" i="4" s="1"/>
  <c r="D96" i="4" s="1"/>
  <c r="P35" i="4" s="1"/>
  <c r="C97" i="4"/>
  <c r="B97" i="4" s="1"/>
  <c r="D97" i="4" s="1"/>
  <c r="S35" i="4" s="1"/>
  <c r="C98" i="4"/>
  <c r="B98" i="4" s="1"/>
  <c r="D98" i="4" s="1"/>
  <c r="V36" i="4" s="1"/>
  <c r="C99" i="4"/>
  <c r="B99" i="4" s="1"/>
  <c r="D99" i="4" s="1"/>
  <c r="P36" i="4" s="1"/>
  <c r="C100" i="4"/>
  <c r="B100" i="4" s="1"/>
  <c r="D100" i="4" s="1"/>
  <c r="S36" i="4" s="1"/>
  <c r="C8" i="4"/>
  <c r="B8" i="4" s="1"/>
  <c r="D8" i="4" s="1"/>
  <c r="V6" i="4" s="1"/>
  <c r="AC6" i="4"/>
  <c r="AC7" i="4" s="1"/>
  <c r="Z6" i="4"/>
  <c r="Z7" i="4" s="1"/>
  <c r="Z8" i="4" s="1"/>
  <c r="W6" i="4"/>
  <c r="X6" i="4" s="1"/>
  <c r="T6" i="4"/>
  <c r="U6" i="4" s="1"/>
  <c r="Q6" i="4"/>
  <c r="R6" i="4" s="1"/>
  <c r="N6" i="4"/>
  <c r="N7" i="4" s="1"/>
  <c r="K6" i="4"/>
  <c r="L6" i="4" s="1"/>
  <c r="N6" i="13" l="1"/>
  <c r="M6" i="13"/>
  <c r="L6" i="13"/>
  <c r="O6" i="13"/>
  <c r="K6" i="13"/>
  <c r="Q6" i="13"/>
  <c r="J6" i="13"/>
  <c r="I6" i="13"/>
  <c r="H7" i="13"/>
  <c r="M6" i="12"/>
  <c r="L6" i="12"/>
  <c r="O6" i="12"/>
  <c r="K6" i="12"/>
  <c r="J6" i="12"/>
  <c r="I6" i="12"/>
  <c r="Q6" i="12"/>
  <c r="H7" i="12"/>
  <c r="N6" i="12"/>
  <c r="I4" i="12"/>
  <c r="U39" i="10"/>
  <c r="C38" i="9"/>
  <c r="E36" i="9" s="1"/>
  <c r="O36" i="10"/>
  <c r="J36" i="10"/>
  <c r="I36" i="10"/>
  <c r="N36" i="10"/>
  <c r="M36" i="10"/>
  <c r="L36" i="10"/>
  <c r="K36" i="10"/>
  <c r="I36" i="11"/>
  <c r="T4" i="11"/>
  <c r="M4" i="11"/>
  <c r="N5" i="11"/>
  <c r="N4" i="11"/>
  <c r="O5" i="11"/>
  <c r="O4" i="11"/>
  <c r="R5" i="11"/>
  <c r="T5" i="11" s="1"/>
  <c r="S4" i="11"/>
  <c r="I2" i="11"/>
  <c r="I4" i="11" s="1"/>
  <c r="H6" i="11"/>
  <c r="J5" i="11"/>
  <c r="J4" i="11"/>
  <c r="M5" i="10"/>
  <c r="M4" i="10"/>
  <c r="N5" i="10"/>
  <c r="L4" i="10"/>
  <c r="N4" i="10"/>
  <c r="O5" i="10"/>
  <c r="I2" i="10"/>
  <c r="I4" i="10" s="1"/>
  <c r="H6" i="10"/>
  <c r="J4" i="10"/>
  <c r="Q5" i="8"/>
  <c r="S5" i="8" s="1"/>
  <c r="L5" i="8"/>
  <c r="K5" i="7"/>
  <c r="L5" i="7"/>
  <c r="M5" i="7"/>
  <c r="N5" i="7"/>
  <c r="O5" i="7"/>
  <c r="Q5" i="7"/>
  <c r="S4" i="8"/>
  <c r="T4" i="8" s="1"/>
  <c r="U4" i="8" s="1"/>
  <c r="L4" i="8"/>
  <c r="I2" i="8"/>
  <c r="I4" i="8" s="1"/>
  <c r="M4" i="8"/>
  <c r="R5" i="8"/>
  <c r="T5" i="8" s="1"/>
  <c r="U5" i="8" s="1"/>
  <c r="H6" i="8"/>
  <c r="M5" i="8"/>
  <c r="O5" i="8"/>
  <c r="I5" i="8"/>
  <c r="J5" i="8"/>
  <c r="J4" i="8"/>
  <c r="N5" i="8"/>
  <c r="N4" i="8"/>
  <c r="O4" i="8"/>
  <c r="K4" i="8"/>
  <c r="S5" i="7"/>
  <c r="R5" i="7" s="1"/>
  <c r="T5" i="7" s="1"/>
  <c r="U5" i="7" s="1"/>
  <c r="S4" i="7"/>
  <c r="R4" i="7" s="1"/>
  <c r="T4" i="7" s="1"/>
  <c r="H6" i="7"/>
  <c r="I5" i="7"/>
  <c r="S4" i="6"/>
  <c r="T4" i="6" s="1"/>
  <c r="I4" i="6"/>
  <c r="N4" i="6"/>
  <c r="O5" i="6"/>
  <c r="O4" i="6"/>
  <c r="Q5" i="6"/>
  <c r="H6" i="6"/>
  <c r="I5" i="6"/>
  <c r="S5" i="5"/>
  <c r="R5" i="5" s="1"/>
  <c r="T5" i="5" s="1"/>
  <c r="U5" i="5" s="1"/>
  <c r="O4" i="5"/>
  <c r="H6" i="5"/>
  <c r="J5" i="5"/>
  <c r="K5" i="5"/>
  <c r="L5" i="5"/>
  <c r="K4" i="5"/>
  <c r="N5" i="5"/>
  <c r="M5" i="5"/>
  <c r="L4" i="5"/>
  <c r="O5" i="5"/>
  <c r="I2" i="5"/>
  <c r="I4" i="5" s="1"/>
  <c r="J4" i="5"/>
  <c r="M4" i="5"/>
  <c r="V9" i="4"/>
  <c r="V10" i="4"/>
  <c r="V25" i="4"/>
  <c r="V26" i="4"/>
  <c r="Y10" i="4"/>
  <c r="M6" i="4"/>
  <c r="Y26" i="4"/>
  <c r="M7" i="4"/>
  <c r="Y27" i="4"/>
  <c r="M22" i="4"/>
  <c r="AB11" i="4"/>
  <c r="M21" i="4"/>
  <c r="AB12" i="4"/>
  <c r="AB27" i="4"/>
  <c r="P8" i="4"/>
  <c r="AB28" i="4"/>
  <c r="P23" i="4"/>
  <c r="AE12" i="4"/>
  <c r="P24" i="4"/>
  <c r="AE13" i="4"/>
  <c r="AE28" i="4"/>
  <c r="M13" i="4"/>
  <c r="P13" i="4"/>
  <c r="S38" i="4"/>
  <c r="P18" i="4"/>
  <c r="M18" i="4"/>
  <c r="M29" i="4"/>
  <c r="P29" i="4"/>
  <c r="M36" i="4"/>
  <c r="M20" i="4"/>
  <c r="P9" i="4"/>
  <c r="P25" i="4"/>
  <c r="V11" i="4"/>
  <c r="V27" i="4"/>
  <c r="Y12" i="4"/>
  <c r="Y28" i="4"/>
  <c r="AB13" i="4"/>
  <c r="AB29" i="4"/>
  <c r="AE14" i="4"/>
  <c r="AE30" i="4"/>
  <c r="M35" i="4"/>
  <c r="M19" i="4"/>
  <c r="P10" i="4"/>
  <c r="P26" i="4"/>
  <c r="Y13" i="4"/>
  <c r="Y29" i="4"/>
  <c r="AB14" i="4"/>
  <c r="AB30" i="4"/>
  <c r="AE15" i="4"/>
  <c r="AE31" i="4"/>
  <c r="M34" i="4"/>
  <c r="P11" i="4"/>
  <c r="P27" i="4"/>
  <c r="V29" i="4"/>
  <c r="Y14" i="4"/>
  <c r="Y30" i="4"/>
  <c r="AB15" i="4"/>
  <c r="AB31" i="4"/>
  <c r="AE16" i="4"/>
  <c r="AE32" i="4"/>
  <c r="M33" i="4"/>
  <c r="M17" i="4"/>
  <c r="P12" i="4"/>
  <c r="P28" i="4"/>
  <c r="Y15" i="4"/>
  <c r="Y31" i="4"/>
  <c r="AB16" i="4"/>
  <c r="AB32" i="4"/>
  <c r="AE17" i="4"/>
  <c r="AE33" i="4"/>
  <c r="M32" i="4"/>
  <c r="M16" i="4"/>
  <c r="Y16" i="4"/>
  <c r="Y32" i="4"/>
  <c r="AB17" i="4"/>
  <c r="AB33" i="4"/>
  <c r="AE18" i="4"/>
  <c r="AE34" i="4"/>
  <c r="Y11" i="4"/>
  <c r="M31" i="4"/>
  <c r="M15" i="4"/>
  <c r="P14" i="4"/>
  <c r="P30" i="4"/>
  <c r="Y17" i="4"/>
  <c r="Y33" i="4"/>
  <c r="AB18" i="4"/>
  <c r="AB34" i="4"/>
  <c r="AE19" i="4"/>
  <c r="AE35" i="4"/>
  <c r="Y18" i="4"/>
  <c r="Y34" i="4"/>
  <c r="AB19" i="4"/>
  <c r="AB35" i="4"/>
  <c r="AE20" i="4"/>
  <c r="AE36" i="4"/>
  <c r="Y19" i="4"/>
  <c r="Y35" i="4"/>
  <c r="AB20" i="4"/>
  <c r="AB36" i="4"/>
  <c r="AE21" i="4"/>
  <c r="Y20" i="4"/>
  <c r="Y36" i="4"/>
  <c r="AB21" i="4"/>
  <c r="AE6" i="4"/>
  <c r="AE22" i="4"/>
  <c r="Y21" i="4"/>
  <c r="AB6" i="4"/>
  <c r="AB22" i="4"/>
  <c r="AE7" i="4"/>
  <c r="AE23" i="4"/>
  <c r="Y6" i="4"/>
  <c r="Y22" i="4"/>
  <c r="AB7" i="4"/>
  <c r="AB23" i="4"/>
  <c r="AE8" i="4"/>
  <c r="AE24" i="4"/>
  <c r="Y7" i="4"/>
  <c r="Y23" i="4"/>
  <c r="AB8" i="4"/>
  <c r="AB24" i="4"/>
  <c r="AE9" i="4"/>
  <c r="AE25" i="4"/>
  <c r="Y8" i="4"/>
  <c r="Y24" i="4"/>
  <c r="AB9" i="4"/>
  <c r="AB25" i="4"/>
  <c r="AE10" i="4"/>
  <c r="AE26" i="4"/>
  <c r="AA6" i="4"/>
  <c r="AD6" i="4"/>
  <c r="Q7" i="4"/>
  <c r="Q8" i="4" s="1"/>
  <c r="R8" i="4" s="1"/>
  <c r="W7" i="4"/>
  <c r="X7" i="4" s="1"/>
  <c r="AD7" i="4"/>
  <c r="AC8" i="4"/>
  <c r="O7" i="4"/>
  <c r="N8" i="4"/>
  <c r="AA8" i="4"/>
  <c r="Z9" i="4"/>
  <c r="O6" i="4"/>
  <c r="T7" i="4"/>
  <c r="W8" i="4"/>
  <c r="R7" i="4"/>
  <c r="AA7" i="4"/>
  <c r="K7" i="4"/>
  <c r="R6" i="13" l="1"/>
  <c r="S6" i="13"/>
  <c r="N7" i="13"/>
  <c r="M7" i="13"/>
  <c r="L7" i="13"/>
  <c r="K7" i="13"/>
  <c r="J7" i="13"/>
  <c r="I7" i="13"/>
  <c r="H8" i="13"/>
  <c r="O7" i="13"/>
  <c r="Q7" i="13"/>
  <c r="N7" i="12"/>
  <c r="M7" i="12"/>
  <c r="L7" i="12"/>
  <c r="K7" i="12"/>
  <c r="O7" i="12"/>
  <c r="H8" i="12"/>
  <c r="J7" i="12"/>
  <c r="I7" i="12"/>
  <c r="Q7" i="12"/>
  <c r="S6" i="12"/>
  <c r="R6" i="12" s="1"/>
  <c r="T6" i="12" s="1"/>
  <c r="E38" i="9"/>
  <c r="M6" i="11"/>
  <c r="L6" i="11"/>
  <c r="N6" i="11"/>
  <c r="K6" i="11"/>
  <c r="J6" i="11"/>
  <c r="I6" i="11"/>
  <c r="H7" i="11"/>
  <c r="O6" i="11"/>
  <c r="Q6" i="11"/>
  <c r="I5" i="11"/>
  <c r="L6" i="10"/>
  <c r="K6" i="10"/>
  <c r="J6" i="10"/>
  <c r="I6" i="10"/>
  <c r="H7" i="10"/>
  <c r="Q6" i="10"/>
  <c r="N6" i="10"/>
  <c r="O6" i="10"/>
  <c r="M6" i="10"/>
  <c r="I5" i="10"/>
  <c r="M6" i="8"/>
  <c r="L6" i="8"/>
  <c r="K6" i="8"/>
  <c r="N6" i="8"/>
  <c r="J6" i="8"/>
  <c r="I6" i="8"/>
  <c r="H7" i="8"/>
  <c r="Q6" i="8"/>
  <c r="O6" i="8"/>
  <c r="L6" i="7"/>
  <c r="K6" i="7"/>
  <c r="J6" i="7"/>
  <c r="I6" i="7"/>
  <c r="H7" i="7"/>
  <c r="N6" i="7"/>
  <c r="M6" i="7"/>
  <c r="O6" i="7"/>
  <c r="Q6" i="7"/>
  <c r="U4" i="7"/>
  <c r="S5" i="6"/>
  <c r="R5" i="6"/>
  <c r="T5" i="6" s="1"/>
  <c r="U5" i="6" s="1"/>
  <c r="K6" i="6"/>
  <c r="J6" i="6"/>
  <c r="I6" i="6"/>
  <c r="O6" i="6"/>
  <c r="H7" i="6"/>
  <c r="N6" i="6"/>
  <c r="M6" i="6"/>
  <c r="L6" i="6"/>
  <c r="Q6" i="6"/>
  <c r="U4" i="6"/>
  <c r="I5" i="5"/>
  <c r="Q6" i="5"/>
  <c r="H7" i="5"/>
  <c r="O6" i="5"/>
  <c r="M6" i="5"/>
  <c r="N6" i="5"/>
  <c r="I6" i="5"/>
  <c r="L6" i="5"/>
  <c r="J6" i="5"/>
  <c r="K6" i="5"/>
  <c r="M38" i="4"/>
  <c r="V38" i="4"/>
  <c r="P38" i="4"/>
  <c r="Y38" i="4"/>
  <c r="AB38" i="4"/>
  <c r="AE38" i="4"/>
  <c r="Q9" i="4"/>
  <c r="L7" i="4"/>
  <c r="K8" i="4"/>
  <c r="W9" i="4"/>
  <c r="X8" i="4"/>
  <c r="O8" i="4"/>
  <c r="N9" i="4"/>
  <c r="U7" i="4"/>
  <c r="T8" i="4"/>
  <c r="AC9" i="4"/>
  <c r="AD8" i="4"/>
  <c r="AA9" i="4"/>
  <c r="Z10" i="4"/>
  <c r="R9" i="4"/>
  <c r="Q10" i="4"/>
  <c r="U28" i="9" l="1"/>
  <c r="R7" i="13"/>
  <c r="S7" i="13"/>
  <c r="T6" i="13"/>
  <c r="O8" i="13"/>
  <c r="N8" i="13"/>
  <c r="M8" i="13"/>
  <c r="L8" i="13"/>
  <c r="K8" i="13"/>
  <c r="J8" i="13"/>
  <c r="I8" i="13"/>
  <c r="Q8" i="13"/>
  <c r="H9" i="13"/>
  <c r="S7" i="12"/>
  <c r="R7" i="12" s="1"/>
  <c r="T7" i="12" s="1"/>
  <c r="O8" i="12"/>
  <c r="N8" i="12"/>
  <c r="M8" i="12"/>
  <c r="L8" i="12"/>
  <c r="K8" i="12"/>
  <c r="J8" i="12"/>
  <c r="I8" i="12"/>
  <c r="H9" i="12"/>
  <c r="Q8" i="12"/>
  <c r="R6" i="11"/>
  <c r="T6" i="11" s="1"/>
  <c r="S6" i="11"/>
  <c r="M7" i="11"/>
  <c r="L7" i="11"/>
  <c r="K7" i="11"/>
  <c r="J7" i="11"/>
  <c r="I7" i="11"/>
  <c r="H8" i="11"/>
  <c r="N7" i="11"/>
  <c r="O7" i="11"/>
  <c r="Q7" i="11"/>
  <c r="S6" i="10"/>
  <c r="R6" i="10" s="1"/>
  <c r="T6" i="10" s="1"/>
  <c r="M7" i="10"/>
  <c r="L7" i="10"/>
  <c r="K7" i="10"/>
  <c r="J7" i="10"/>
  <c r="I7" i="10"/>
  <c r="H8" i="10"/>
  <c r="N7" i="10"/>
  <c r="Q7" i="10"/>
  <c r="O7" i="10"/>
  <c r="M7" i="8"/>
  <c r="N7" i="8"/>
  <c r="L7" i="8"/>
  <c r="K7" i="8"/>
  <c r="H8" i="8"/>
  <c r="J7" i="8"/>
  <c r="I7" i="8"/>
  <c r="Q7" i="8"/>
  <c r="O7" i="8"/>
  <c r="R6" i="8"/>
  <c r="S6" i="8"/>
  <c r="M7" i="7"/>
  <c r="N7" i="7"/>
  <c r="L7" i="7"/>
  <c r="Q7" i="7"/>
  <c r="K7" i="7"/>
  <c r="J7" i="7"/>
  <c r="I7" i="7"/>
  <c r="H8" i="7"/>
  <c r="O7" i="7"/>
  <c r="S6" i="7"/>
  <c r="R6" i="7" s="1"/>
  <c r="T6" i="7" s="1"/>
  <c r="U6" i="7" s="1"/>
  <c r="S6" i="6"/>
  <c r="R6" i="6"/>
  <c r="T6" i="6" s="1"/>
  <c r="U6" i="6" s="1"/>
  <c r="L7" i="6"/>
  <c r="K7" i="6"/>
  <c r="J7" i="6"/>
  <c r="I7" i="6"/>
  <c r="M7" i="6"/>
  <c r="O7" i="6"/>
  <c r="H8" i="6"/>
  <c r="N7" i="6"/>
  <c r="Q7" i="6"/>
  <c r="S6" i="5"/>
  <c r="R6" i="5" s="1"/>
  <c r="T6" i="5" s="1"/>
  <c r="U6" i="5" s="1"/>
  <c r="K7" i="5"/>
  <c r="H8" i="5"/>
  <c r="J7" i="5"/>
  <c r="Q7" i="5"/>
  <c r="M7" i="5"/>
  <c r="O7" i="5"/>
  <c r="N7" i="5"/>
  <c r="I7" i="5"/>
  <c r="L7" i="5"/>
  <c r="Z11" i="4"/>
  <c r="AA10" i="4"/>
  <c r="R10" i="4"/>
  <c r="Q11" i="4"/>
  <c r="AD9" i="4"/>
  <c r="AC10" i="4"/>
  <c r="W10" i="4"/>
  <c r="X9" i="4"/>
  <c r="T9" i="4"/>
  <c r="U8" i="4"/>
  <c r="L8" i="4"/>
  <c r="K9" i="4"/>
  <c r="O9" i="4"/>
  <c r="N10" i="4"/>
  <c r="T28" i="9" l="1"/>
  <c r="T7" i="13"/>
  <c r="Q9" i="13"/>
  <c r="O9" i="13"/>
  <c r="N9" i="13"/>
  <c r="H10" i="13"/>
  <c r="M9" i="13"/>
  <c r="L9" i="13"/>
  <c r="K9" i="13"/>
  <c r="J9" i="13"/>
  <c r="I9" i="13"/>
  <c r="S8" i="13"/>
  <c r="R8" i="13"/>
  <c r="T8" i="13" s="1"/>
  <c r="Q9" i="12"/>
  <c r="O9" i="12"/>
  <c r="N9" i="12"/>
  <c r="M9" i="12"/>
  <c r="H10" i="12"/>
  <c r="L9" i="12"/>
  <c r="K9" i="12"/>
  <c r="J9" i="12"/>
  <c r="I9" i="12"/>
  <c r="S8" i="12"/>
  <c r="R8" i="12" s="1"/>
  <c r="T8" i="12" s="1"/>
  <c r="R7" i="11"/>
  <c r="T7" i="11" s="1"/>
  <c r="S7" i="11"/>
  <c r="N8" i="11"/>
  <c r="M8" i="11"/>
  <c r="L8" i="11"/>
  <c r="K8" i="11"/>
  <c r="J8" i="11"/>
  <c r="I8" i="11"/>
  <c r="O8" i="11"/>
  <c r="H9" i="11"/>
  <c r="Q8" i="11"/>
  <c r="N8" i="10"/>
  <c r="M8" i="10"/>
  <c r="L8" i="10"/>
  <c r="K8" i="10"/>
  <c r="J8" i="10"/>
  <c r="I8" i="10"/>
  <c r="H9" i="10"/>
  <c r="Q8" i="10"/>
  <c r="O8" i="10"/>
  <c r="S7" i="10"/>
  <c r="R7" i="10" s="1"/>
  <c r="T7" i="10" s="1"/>
  <c r="T6" i="8"/>
  <c r="U6" i="8" s="1"/>
  <c r="R7" i="8"/>
  <c r="S7" i="8"/>
  <c r="N8" i="8"/>
  <c r="M8" i="8"/>
  <c r="Q8" i="8"/>
  <c r="L8" i="8"/>
  <c r="K8" i="8"/>
  <c r="H9" i="8"/>
  <c r="J8" i="8"/>
  <c r="I8" i="8"/>
  <c r="O8" i="8"/>
  <c r="N8" i="7"/>
  <c r="M8" i="7"/>
  <c r="L8" i="7"/>
  <c r="K8" i="7"/>
  <c r="J8" i="7"/>
  <c r="I8" i="7"/>
  <c r="H9" i="7"/>
  <c r="Q8" i="7"/>
  <c r="O8" i="7"/>
  <c r="S7" i="7"/>
  <c r="R7" i="7" s="1"/>
  <c r="T7" i="7" s="1"/>
  <c r="U7" i="7" s="1"/>
  <c r="S7" i="6"/>
  <c r="R7" i="6"/>
  <c r="M8" i="6"/>
  <c r="L8" i="6"/>
  <c r="Q8" i="6"/>
  <c r="K8" i="6"/>
  <c r="N8" i="6"/>
  <c r="J8" i="6"/>
  <c r="I8" i="6"/>
  <c r="H9" i="6"/>
  <c r="O8" i="6"/>
  <c r="S7" i="5"/>
  <c r="R7" i="5" s="1"/>
  <c r="T7" i="5" s="1"/>
  <c r="U7" i="5" s="1"/>
  <c r="J8" i="5"/>
  <c r="M8" i="5"/>
  <c r="I8" i="5"/>
  <c r="H9" i="5"/>
  <c r="Q8" i="5"/>
  <c r="L8" i="5"/>
  <c r="N8" i="5"/>
  <c r="O8" i="5"/>
  <c r="K8" i="5"/>
  <c r="O10" i="4"/>
  <c r="N11" i="4"/>
  <c r="U9" i="4"/>
  <c r="T10" i="4"/>
  <c r="X10" i="4"/>
  <c r="W11" i="4"/>
  <c r="AD10" i="4"/>
  <c r="AC11" i="4"/>
  <c r="L9" i="4"/>
  <c r="K10" i="4"/>
  <c r="R11" i="4"/>
  <c r="Q12" i="4"/>
  <c r="AA11" i="4"/>
  <c r="Z12" i="4"/>
  <c r="Q10" i="13" l="1"/>
  <c r="O10" i="13"/>
  <c r="N10" i="13"/>
  <c r="M10" i="13"/>
  <c r="L10" i="13"/>
  <c r="K10" i="13"/>
  <c r="J10" i="13"/>
  <c r="I10" i="13"/>
  <c r="H11" i="13"/>
  <c r="R9" i="13"/>
  <c r="T9" i="13" s="1"/>
  <c r="S9" i="13"/>
  <c r="S9" i="12"/>
  <c r="R9" i="12" s="1"/>
  <c r="T9" i="12" s="1"/>
  <c r="Q10" i="12"/>
  <c r="O10" i="12"/>
  <c r="J10" i="12"/>
  <c r="N10" i="12"/>
  <c r="H11" i="12"/>
  <c r="M10" i="12"/>
  <c r="L10" i="12"/>
  <c r="K10" i="12"/>
  <c r="I10" i="12"/>
  <c r="O9" i="11"/>
  <c r="N9" i="11"/>
  <c r="M9" i="11"/>
  <c r="L9" i="11"/>
  <c r="K9" i="11"/>
  <c r="J9" i="11"/>
  <c r="I9" i="11"/>
  <c r="H10" i="11"/>
  <c r="Q9" i="11"/>
  <c r="R8" i="11"/>
  <c r="T8" i="11" s="1"/>
  <c r="S8" i="11"/>
  <c r="O9" i="10"/>
  <c r="H10" i="10"/>
  <c r="N9" i="10"/>
  <c r="M9" i="10"/>
  <c r="L9" i="10"/>
  <c r="K9" i="10"/>
  <c r="J9" i="10"/>
  <c r="I9" i="10"/>
  <c r="Q9" i="10"/>
  <c r="S8" i="10"/>
  <c r="R8" i="10" s="1"/>
  <c r="T8" i="10" s="1"/>
  <c r="S8" i="8"/>
  <c r="R8" i="8"/>
  <c r="T8" i="8" s="1"/>
  <c r="U8" i="8" s="1"/>
  <c r="O9" i="8"/>
  <c r="N9" i="8"/>
  <c r="I9" i="8"/>
  <c r="Q9" i="8"/>
  <c r="M9" i="8"/>
  <c r="L9" i="8"/>
  <c r="K9" i="8"/>
  <c r="J9" i="8"/>
  <c r="H10" i="8"/>
  <c r="T7" i="8"/>
  <c r="U7" i="8" s="1"/>
  <c r="S8" i="7"/>
  <c r="R8" i="7" s="1"/>
  <c r="T8" i="7" s="1"/>
  <c r="U8" i="7" s="1"/>
  <c r="O9" i="7"/>
  <c r="N9" i="7"/>
  <c r="M9" i="7"/>
  <c r="L9" i="7"/>
  <c r="K9" i="7"/>
  <c r="J9" i="7"/>
  <c r="Q9" i="7"/>
  <c r="I9" i="7"/>
  <c r="H10" i="7"/>
  <c r="T7" i="6"/>
  <c r="U7" i="6" s="1"/>
  <c r="S8" i="6"/>
  <c r="R8" i="6"/>
  <c r="T8" i="6" s="1"/>
  <c r="U8" i="6" s="1"/>
  <c r="N9" i="6"/>
  <c r="Q9" i="6"/>
  <c r="O9" i="6"/>
  <c r="M9" i="6"/>
  <c r="L9" i="6"/>
  <c r="K9" i="6"/>
  <c r="J9" i="6"/>
  <c r="I9" i="6"/>
  <c r="H10" i="6"/>
  <c r="S8" i="5"/>
  <c r="R8" i="5" s="1"/>
  <c r="T8" i="5" s="1"/>
  <c r="U8" i="5" s="1"/>
  <c r="M9" i="5"/>
  <c r="N9" i="5"/>
  <c r="L9" i="5"/>
  <c r="K9" i="5"/>
  <c r="J9" i="5"/>
  <c r="I9" i="5"/>
  <c r="H10" i="5"/>
  <c r="Q9" i="5"/>
  <c r="O9" i="5"/>
  <c r="Q13" i="4"/>
  <c r="R12" i="4"/>
  <c r="AA12" i="4"/>
  <c r="Z13" i="4"/>
  <c r="K11" i="4"/>
  <c r="L10" i="4"/>
  <c r="X11" i="4"/>
  <c r="W12" i="4"/>
  <c r="N12" i="4"/>
  <c r="O11" i="4"/>
  <c r="AC12" i="4"/>
  <c r="AD11" i="4"/>
  <c r="U10" i="4"/>
  <c r="T11" i="4"/>
  <c r="H12" i="13" l="1"/>
  <c r="Q11" i="13"/>
  <c r="K11" i="13"/>
  <c r="O11" i="13"/>
  <c r="N11" i="13"/>
  <c r="M11" i="13"/>
  <c r="L11" i="13"/>
  <c r="I11" i="13"/>
  <c r="J11" i="13"/>
  <c r="S10" i="13"/>
  <c r="R10" i="13"/>
  <c r="T10" i="13" s="1"/>
  <c r="S10" i="12"/>
  <c r="R10" i="12" s="1"/>
  <c r="T10" i="12" s="1"/>
  <c r="M11" i="12"/>
  <c r="Q11" i="12"/>
  <c r="O11" i="12"/>
  <c r="N11" i="12"/>
  <c r="L11" i="12"/>
  <c r="K11" i="12"/>
  <c r="J11" i="12"/>
  <c r="I11" i="12"/>
  <c r="H12" i="12"/>
  <c r="Q10" i="11"/>
  <c r="O10" i="11"/>
  <c r="N10" i="11"/>
  <c r="M10" i="11"/>
  <c r="L10" i="11"/>
  <c r="K10" i="11"/>
  <c r="J10" i="11"/>
  <c r="I10" i="11"/>
  <c r="H11" i="11"/>
  <c r="S9" i="11"/>
  <c r="R9" i="11"/>
  <c r="T9" i="11" s="1"/>
  <c r="S9" i="10"/>
  <c r="R9" i="10" s="1"/>
  <c r="T9" i="10" s="1"/>
  <c r="Q10" i="10"/>
  <c r="O10" i="10"/>
  <c r="I10" i="10"/>
  <c r="N10" i="10"/>
  <c r="M10" i="10"/>
  <c r="L10" i="10"/>
  <c r="H11" i="10"/>
  <c r="K10" i="10"/>
  <c r="J10" i="10"/>
  <c r="Q10" i="8"/>
  <c r="H11" i="8"/>
  <c r="O10" i="8"/>
  <c r="I10" i="8"/>
  <c r="N10" i="8"/>
  <c r="M10" i="8"/>
  <c r="L10" i="8"/>
  <c r="K10" i="8"/>
  <c r="J10" i="8"/>
  <c r="S9" i="8"/>
  <c r="R9" i="8"/>
  <c r="Q10" i="7"/>
  <c r="O10" i="7"/>
  <c r="N10" i="7"/>
  <c r="M10" i="7"/>
  <c r="L10" i="7"/>
  <c r="K10" i="7"/>
  <c r="J10" i="7"/>
  <c r="I10" i="7"/>
  <c r="H11" i="7"/>
  <c r="S9" i="7"/>
  <c r="R9" i="7" s="1"/>
  <c r="T9" i="7" s="1"/>
  <c r="U9" i="7" s="1"/>
  <c r="S9" i="6"/>
  <c r="R9" i="6"/>
  <c r="O10" i="6"/>
  <c r="N10" i="6"/>
  <c r="M10" i="6"/>
  <c r="L10" i="6"/>
  <c r="K10" i="6"/>
  <c r="J10" i="6"/>
  <c r="I10" i="6"/>
  <c r="H11" i="6"/>
  <c r="Q10" i="6"/>
  <c r="T9" i="6"/>
  <c r="U9" i="6" s="1"/>
  <c r="S9" i="5"/>
  <c r="R9" i="5" s="1"/>
  <c r="T9" i="5" s="1"/>
  <c r="U9" i="5" s="1"/>
  <c r="Q10" i="5"/>
  <c r="O10" i="5"/>
  <c r="N10" i="5"/>
  <c r="M10" i="5"/>
  <c r="H11" i="5"/>
  <c r="L10" i="5"/>
  <c r="K10" i="5"/>
  <c r="J10" i="5"/>
  <c r="I10" i="5"/>
  <c r="U11" i="4"/>
  <c r="T12" i="4"/>
  <c r="AD12" i="4"/>
  <c r="AC13" i="4"/>
  <c r="L11" i="4"/>
  <c r="K12" i="4"/>
  <c r="X12" i="4"/>
  <c r="W13" i="4"/>
  <c r="O12" i="4"/>
  <c r="N13" i="4"/>
  <c r="AA13" i="4"/>
  <c r="Z14" i="4"/>
  <c r="R13" i="4"/>
  <c r="Q14" i="4"/>
  <c r="K6" i="2"/>
  <c r="L6" i="2" s="1"/>
  <c r="S11" i="13" l="1"/>
  <c r="R11" i="13"/>
  <c r="T11" i="13" s="1"/>
  <c r="H13" i="13"/>
  <c r="J12" i="13"/>
  <c r="I12" i="13"/>
  <c r="Q12" i="13"/>
  <c r="M12" i="13"/>
  <c r="O12" i="13"/>
  <c r="N12" i="13"/>
  <c r="L12" i="13"/>
  <c r="K12" i="13"/>
  <c r="H13" i="12"/>
  <c r="M12" i="12"/>
  <c r="L12" i="12"/>
  <c r="Q12" i="12"/>
  <c r="O12" i="12"/>
  <c r="N12" i="12"/>
  <c r="K12" i="12"/>
  <c r="J12" i="12"/>
  <c r="I12" i="12"/>
  <c r="S11" i="12"/>
  <c r="R11" i="12" s="1"/>
  <c r="T11" i="12" s="1"/>
  <c r="Q11" i="11"/>
  <c r="O11" i="11"/>
  <c r="N11" i="11"/>
  <c r="M11" i="11"/>
  <c r="L11" i="11"/>
  <c r="K11" i="11"/>
  <c r="J11" i="11"/>
  <c r="I11" i="11"/>
  <c r="H12" i="11"/>
  <c r="S10" i="11"/>
  <c r="R10" i="11"/>
  <c r="T10" i="11" s="1"/>
  <c r="I11" i="10"/>
  <c r="K11" i="10"/>
  <c r="J11" i="10"/>
  <c r="Q11" i="10"/>
  <c r="O11" i="10"/>
  <c r="L11" i="10"/>
  <c r="N11" i="10"/>
  <c r="M11" i="10"/>
  <c r="H12" i="10"/>
  <c r="S10" i="10"/>
  <c r="R10" i="10" s="1"/>
  <c r="T10" i="10" s="1"/>
  <c r="T9" i="8"/>
  <c r="U9" i="8" s="1"/>
  <c r="L11" i="8"/>
  <c r="I11" i="8"/>
  <c r="Q11" i="8"/>
  <c r="O11" i="8"/>
  <c r="J11" i="8"/>
  <c r="N11" i="8"/>
  <c r="M11" i="8"/>
  <c r="K11" i="8"/>
  <c r="H12" i="8"/>
  <c r="S10" i="8"/>
  <c r="R10" i="8"/>
  <c r="Q11" i="7"/>
  <c r="O11" i="7"/>
  <c r="H12" i="7"/>
  <c r="N11" i="7"/>
  <c r="M11" i="7"/>
  <c r="L11" i="7"/>
  <c r="K11" i="7"/>
  <c r="J11" i="7"/>
  <c r="I11" i="7"/>
  <c r="S10" i="7"/>
  <c r="R10" i="7" s="1"/>
  <c r="T10" i="7" s="1"/>
  <c r="U10" i="7" s="1"/>
  <c r="S10" i="6"/>
  <c r="R10" i="6"/>
  <c r="Q11" i="6"/>
  <c r="H12" i="6"/>
  <c r="O11" i="6"/>
  <c r="N11" i="6"/>
  <c r="M11" i="6"/>
  <c r="I11" i="6"/>
  <c r="L11" i="6"/>
  <c r="K11" i="6"/>
  <c r="J11" i="6"/>
  <c r="T10" i="6"/>
  <c r="U10" i="6" s="1"/>
  <c r="S10" i="5"/>
  <c r="R10" i="5" s="1"/>
  <c r="T10" i="5" s="1"/>
  <c r="U10" i="5" s="1"/>
  <c r="H12" i="5"/>
  <c r="Q11" i="5"/>
  <c r="O11" i="5"/>
  <c r="N11" i="5"/>
  <c r="M11" i="5"/>
  <c r="L11" i="5"/>
  <c r="K11" i="5"/>
  <c r="J11" i="5"/>
  <c r="I11" i="5"/>
  <c r="R14" i="4"/>
  <c r="Q15" i="4"/>
  <c r="X13" i="4"/>
  <c r="W14" i="4"/>
  <c r="AA14" i="4"/>
  <c r="Z15" i="4"/>
  <c r="N14" i="4"/>
  <c r="O13" i="4"/>
  <c r="L12" i="4"/>
  <c r="K13" i="4"/>
  <c r="AD13" i="4"/>
  <c r="AC14" i="4"/>
  <c r="U12" i="4"/>
  <c r="T13" i="4"/>
  <c r="R12" i="13" l="1"/>
  <c r="T12" i="13" s="1"/>
  <c r="S12" i="13"/>
  <c r="J13" i="13"/>
  <c r="I13" i="13"/>
  <c r="M13" i="13"/>
  <c r="L13" i="13"/>
  <c r="N13" i="13"/>
  <c r="H14" i="13"/>
  <c r="K13" i="13"/>
  <c r="Q13" i="13"/>
  <c r="O13" i="13"/>
  <c r="S12" i="12"/>
  <c r="R12" i="12" s="1"/>
  <c r="T12" i="12" s="1"/>
  <c r="J13" i="12"/>
  <c r="I13" i="12"/>
  <c r="L13" i="12"/>
  <c r="H14" i="12"/>
  <c r="M13" i="12"/>
  <c r="Q13" i="12"/>
  <c r="K13" i="12"/>
  <c r="O13" i="12"/>
  <c r="N13" i="12"/>
  <c r="H13" i="11"/>
  <c r="Q12" i="11"/>
  <c r="O12" i="11"/>
  <c r="N12" i="11"/>
  <c r="M12" i="11"/>
  <c r="L12" i="11"/>
  <c r="K12" i="11"/>
  <c r="J12" i="11"/>
  <c r="I12" i="11"/>
  <c r="R11" i="11"/>
  <c r="T11" i="11" s="1"/>
  <c r="S11" i="11"/>
  <c r="H13" i="10"/>
  <c r="O12" i="10"/>
  <c r="L12" i="10"/>
  <c r="N12" i="10"/>
  <c r="M12" i="10"/>
  <c r="Q12" i="10"/>
  <c r="K12" i="10"/>
  <c r="J12" i="10"/>
  <c r="I12" i="10"/>
  <c r="S11" i="10"/>
  <c r="R11" i="10" s="1"/>
  <c r="T11" i="10" s="1"/>
  <c r="T10" i="8"/>
  <c r="U10" i="8" s="1"/>
  <c r="M12" i="8"/>
  <c r="H13" i="8"/>
  <c r="Q12" i="8"/>
  <c r="J12" i="8"/>
  <c r="I12" i="8"/>
  <c r="O12" i="8"/>
  <c r="K12" i="8"/>
  <c r="N12" i="8"/>
  <c r="L12" i="8"/>
  <c r="R11" i="8"/>
  <c r="T11" i="8" s="1"/>
  <c r="U11" i="8" s="1"/>
  <c r="S11" i="8"/>
  <c r="I12" i="7"/>
  <c r="H13" i="7"/>
  <c r="Q12" i="7"/>
  <c r="O12" i="7"/>
  <c r="N12" i="7"/>
  <c r="K12" i="7"/>
  <c r="M12" i="7"/>
  <c r="L12" i="7"/>
  <c r="J12" i="7"/>
  <c r="S11" i="7"/>
  <c r="R11" i="7" s="1"/>
  <c r="T11" i="7" s="1"/>
  <c r="U11" i="7" s="1"/>
  <c r="S11" i="6"/>
  <c r="R11" i="6"/>
  <c r="H13" i="6"/>
  <c r="Q12" i="6"/>
  <c r="O12" i="6"/>
  <c r="N12" i="6"/>
  <c r="M12" i="6"/>
  <c r="L12" i="6"/>
  <c r="K12" i="6"/>
  <c r="J12" i="6"/>
  <c r="I12" i="6"/>
  <c r="S11" i="5"/>
  <c r="R11" i="5" s="1"/>
  <c r="T11" i="5" s="1"/>
  <c r="U11" i="5" s="1"/>
  <c r="I12" i="5"/>
  <c r="M12" i="5"/>
  <c r="H13" i="5"/>
  <c r="L12" i="5"/>
  <c r="K12" i="5"/>
  <c r="Q12" i="5"/>
  <c r="J12" i="5"/>
  <c r="O12" i="5"/>
  <c r="N12" i="5"/>
  <c r="Z16" i="4"/>
  <c r="AA15" i="4"/>
  <c r="T14" i="4"/>
  <c r="U13" i="4"/>
  <c r="N15" i="4"/>
  <c r="O14" i="4"/>
  <c r="K14" i="4"/>
  <c r="L13" i="4"/>
  <c r="X14" i="4"/>
  <c r="W15" i="4"/>
  <c r="AD14" i="4"/>
  <c r="AC15" i="4"/>
  <c r="Q16" i="4"/>
  <c r="R15" i="4"/>
  <c r="S13" i="13" l="1"/>
  <c r="R13" i="13"/>
  <c r="T13" i="13" s="1"/>
  <c r="M14" i="13"/>
  <c r="L14" i="13"/>
  <c r="K14" i="13"/>
  <c r="J14" i="13"/>
  <c r="I14" i="13"/>
  <c r="O14" i="13"/>
  <c r="H15" i="13"/>
  <c r="N14" i="13"/>
  <c r="Q14" i="13"/>
  <c r="S13" i="12"/>
  <c r="R13" i="12" s="1"/>
  <c r="T13" i="12" s="1"/>
  <c r="M14" i="12"/>
  <c r="L14" i="12"/>
  <c r="K14" i="12"/>
  <c r="J14" i="12"/>
  <c r="N14" i="12"/>
  <c r="I14" i="12"/>
  <c r="Q14" i="12"/>
  <c r="H15" i="12"/>
  <c r="O14" i="12"/>
  <c r="S12" i="11"/>
  <c r="R12" i="11"/>
  <c r="T12" i="11" s="1"/>
  <c r="I13" i="11"/>
  <c r="H14" i="11"/>
  <c r="Q13" i="11"/>
  <c r="O13" i="11"/>
  <c r="N13" i="11"/>
  <c r="J13" i="11"/>
  <c r="M13" i="11"/>
  <c r="L13" i="11"/>
  <c r="K13" i="11"/>
  <c r="S12" i="10"/>
  <c r="R12" i="10" s="1"/>
  <c r="T12" i="10" s="1"/>
  <c r="I13" i="10"/>
  <c r="Q13" i="10"/>
  <c r="O13" i="10"/>
  <c r="N13" i="10"/>
  <c r="H14" i="10"/>
  <c r="M13" i="10"/>
  <c r="K13" i="10"/>
  <c r="L13" i="10"/>
  <c r="J13" i="10"/>
  <c r="R12" i="8"/>
  <c r="S12" i="8"/>
  <c r="I13" i="8"/>
  <c r="L13" i="8"/>
  <c r="O13" i="8"/>
  <c r="N13" i="8"/>
  <c r="H14" i="8"/>
  <c r="K13" i="8"/>
  <c r="M13" i="8"/>
  <c r="Q13" i="8"/>
  <c r="J13" i="8"/>
  <c r="S12" i="7"/>
  <c r="R12" i="7" s="1"/>
  <c r="T12" i="7" s="1"/>
  <c r="U12" i="7" s="1"/>
  <c r="I13" i="7"/>
  <c r="K13" i="7"/>
  <c r="H14" i="7"/>
  <c r="J13" i="7"/>
  <c r="Q13" i="7"/>
  <c r="N13" i="7"/>
  <c r="L13" i="7"/>
  <c r="O13" i="7"/>
  <c r="M13" i="7"/>
  <c r="T11" i="6"/>
  <c r="U11" i="6" s="1"/>
  <c r="S12" i="6"/>
  <c r="R12" i="6"/>
  <c r="T12" i="6" s="1"/>
  <c r="U12" i="6" s="1"/>
  <c r="O13" i="6"/>
  <c r="H14" i="6"/>
  <c r="J13" i="6"/>
  <c r="K13" i="6"/>
  <c r="Q13" i="6"/>
  <c r="I13" i="6"/>
  <c r="N13" i="6"/>
  <c r="L13" i="6"/>
  <c r="M13" i="6"/>
  <c r="S12" i="5"/>
  <c r="R12" i="5" s="1"/>
  <c r="T12" i="5" s="1"/>
  <c r="U12" i="5" s="1"/>
  <c r="N13" i="5"/>
  <c r="M13" i="5"/>
  <c r="Q13" i="5"/>
  <c r="L13" i="5"/>
  <c r="K13" i="5"/>
  <c r="J13" i="5"/>
  <c r="I13" i="5"/>
  <c r="O13" i="5"/>
  <c r="H14" i="5"/>
  <c r="AD15" i="4"/>
  <c r="AC16" i="4"/>
  <c r="L14" i="4"/>
  <c r="K15" i="4"/>
  <c r="X15" i="4"/>
  <c r="W16" i="4"/>
  <c r="U14" i="4"/>
  <c r="T15" i="4"/>
  <c r="R16" i="4"/>
  <c r="Q17" i="4"/>
  <c r="O15" i="4"/>
  <c r="N16" i="4"/>
  <c r="AA16" i="4"/>
  <c r="Z17" i="4"/>
  <c r="Q15" i="13" l="1"/>
  <c r="O15" i="13"/>
  <c r="N15" i="13"/>
  <c r="M15" i="13"/>
  <c r="L15" i="13"/>
  <c r="K15" i="13"/>
  <c r="J15" i="13"/>
  <c r="I15" i="13"/>
  <c r="H16" i="13"/>
  <c r="R14" i="13"/>
  <c r="T14" i="13" s="1"/>
  <c r="S14" i="13"/>
  <c r="S14" i="12"/>
  <c r="R14" i="12" s="1"/>
  <c r="T14" i="12" s="1"/>
  <c r="Q15" i="12"/>
  <c r="O15" i="12"/>
  <c r="N15" i="12"/>
  <c r="M15" i="12"/>
  <c r="L15" i="12"/>
  <c r="K15" i="12"/>
  <c r="J15" i="12"/>
  <c r="I15" i="12"/>
  <c r="H16" i="12"/>
  <c r="R13" i="11"/>
  <c r="S13" i="11"/>
  <c r="L14" i="11"/>
  <c r="K14" i="11"/>
  <c r="J14" i="11"/>
  <c r="I14" i="11"/>
  <c r="H15" i="11"/>
  <c r="Q14" i="11"/>
  <c r="M14" i="11"/>
  <c r="O14" i="11"/>
  <c r="N14" i="11"/>
  <c r="L14" i="10"/>
  <c r="K14" i="10"/>
  <c r="J14" i="10"/>
  <c r="I14" i="10"/>
  <c r="H15" i="10"/>
  <c r="Q14" i="10"/>
  <c r="M14" i="10"/>
  <c r="O14" i="10"/>
  <c r="N14" i="10"/>
  <c r="S13" i="10"/>
  <c r="R13" i="10" s="1"/>
  <c r="T13" i="10" s="1"/>
  <c r="L14" i="8"/>
  <c r="H15" i="8"/>
  <c r="Q14" i="8"/>
  <c r="N14" i="8"/>
  <c r="K14" i="8"/>
  <c r="J14" i="8"/>
  <c r="I14" i="8"/>
  <c r="O14" i="8"/>
  <c r="M14" i="8"/>
  <c r="S13" i="8"/>
  <c r="R13" i="8"/>
  <c r="T13" i="8" s="1"/>
  <c r="U13" i="8" s="1"/>
  <c r="T12" i="8"/>
  <c r="U12" i="8" s="1"/>
  <c r="S13" i="7"/>
  <c r="R13" i="7" s="1"/>
  <c r="T13" i="7" s="1"/>
  <c r="U13" i="7" s="1"/>
  <c r="L14" i="7"/>
  <c r="K14" i="7"/>
  <c r="M14" i="7"/>
  <c r="J14" i="7"/>
  <c r="I14" i="7"/>
  <c r="H15" i="7"/>
  <c r="O14" i="7"/>
  <c r="Q14" i="7"/>
  <c r="N14" i="7"/>
  <c r="S13" i="6"/>
  <c r="R13" i="6"/>
  <c r="K14" i="6"/>
  <c r="J14" i="6"/>
  <c r="I14" i="6"/>
  <c r="L14" i="6"/>
  <c r="H15" i="6"/>
  <c r="M14" i="6"/>
  <c r="N14" i="6"/>
  <c r="Q14" i="6"/>
  <c r="O14" i="6"/>
  <c r="S13" i="5"/>
  <c r="R13" i="5" s="1"/>
  <c r="T13" i="5" s="1"/>
  <c r="U13" i="5" s="1"/>
  <c r="H15" i="5"/>
  <c r="Q14" i="5"/>
  <c r="O14" i="5"/>
  <c r="N14" i="5"/>
  <c r="M14" i="5"/>
  <c r="L14" i="5"/>
  <c r="K14" i="5"/>
  <c r="J14" i="5"/>
  <c r="I14" i="5"/>
  <c r="O16" i="4"/>
  <c r="N17" i="4"/>
  <c r="Z18" i="4"/>
  <c r="AA17" i="4"/>
  <c r="T16" i="4"/>
  <c r="U15" i="4"/>
  <c r="R17" i="4"/>
  <c r="Q18" i="4"/>
  <c r="X16" i="4"/>
  <c r="W17" i="4"/>
  <c r="L15" i="4"/>
  <c r="K16" i="4"/>
  <c r="AD16" i="4"/>
  <c r="AC17" i="4"/>
  <c r="Q16" i="13" l="1"/>
  <c r="O16" i="13"/>
  <c r="N16" i="13"/>
  <c r="H17" i="13"/>
  <c r="M16" i="13"/>
  <c r="L16" i="13"/>
  <c r="K16" i="13"/>
  <c r="J16" i="13"/>
  <c r="I16" i="13"/>
  <c r="S15" i="13"/>
  <c r="R15" i="13"/>
  <c r="T15" i="13" s="1"/>
  <c r="Q16" i="12"/>
  <c r="O16" i="12"/>
  <c r="N16" i="12"/>
  <c r="M16" i="12"/>
  <c r="L16" i="12"/>
  <c r="I16" i="12"/>
  <c r="K16" i="12"/>
  <c r="J16" i="12"/>
  <c r="H17" i="12"/>
  <c r="S15" i="12"/>
  <c r="R15" i="12" s="1"/>
  <c r="T15" i="12" s="1"/>
  <c r="R14" i="11"/>
  <c r="S14" i="11"/>
  <c r="O15" i="11"/>
  <c r="N15" i="11"/>
  <c r="M15" i="11"/>
  <c r="L15" i="11"/>
  <c r="K15" i="11"/>
  <c r="J15" i="11"/>
  <c r="I15" i="11"/>
  <c r="Q15" i="11"/>
  <c r="H16" i="11"/>
  <c r="T13" i="11"/>
  <c r="S14" i="10"/>
  <c r="R14" i="10" s="1"/>
  <c r="T14" i="10" s="1"/>
  <c r="O15" i="10"/>
  <c r="N15" i="10"/>
  <c r="M15" i="10"/>
  <c r="L15" i="10"/>
  <c r="K15" i="10"/>
  <c r="J15" i="10"/>
  <c r="H16" i="10"/>
  <c r="I15" i="10"/>
  <c r="Q15" i="10"/>
  <c r="S14" i="8"/>
  <c r="R14" i="8"/>
  <c r="T14" i="8" s="1"/>
  <c r="U14" i="8" s="1"/>
  <c r="O15" i="8"/>
  <c r="H16" i="8"/>
  <c r="N15" i="8"/>
  <c r="I15" i="8"/>
  <c r="M15" i="8"/>
  <c r="L15" i="8"/>
  <c r="K15" i="8"/>
  <c r="J15" i="8"/>
  <c r="Q15" i="8"/>
  <c r="S14" i="7"/>
  <c r="R14" i="7" s="1"/>
  <c r="T14" i="7" s="1"/>
  <c r="U14" i="7" s="1"/>
  <c r="O15" i="7"/>
  <c r="N15" i="7"/>
  <c r="M15" i="7"/>
  <c r="L15" i="7"/>
  <c r="K15" i="7"/>
  <c r="J15" i="7"/>
  <c r="I15" i="7"/>
  <c r="Q15" i="7"/>
  <c r="H16" i="7"/>
  <c r="T13" i="6"/>
  <c r="U13" i="6" s="1"/>
  <c r="S14" i="6"/>
  <c r="R14" i="6"/>
  <c r="N15" i="6"/>
  <c r="M15" i="6"/>
  <c r="L15" i="6"/>
  <c r="K15" i="6"/>
  <c r="H16" i="6"/>
  <c r="J15" i="6"/>
  <c r="I15" i="6"/>
  <c r="O15" i="6"/>
  <c r="Q15" i="6"/>
  <c r="S14" i="5"/>
  <c r="R14" i="5" s="1"/>
  <c r="T14" i="5" s="1"/>
  <c r="U14" i="5" s="1"/>
  <c r="J15" i="5"/>
  <c r="H16" i="5"/>
  <c r="I15" i="5"/>
  <c r="L15" i="5"/>
  <c r="Q15" i="5"/>
  <c r="O15" i="5"/>
  <c r="N15" i="5"/>
  <c r="K15" i="5"/>
  <c r="M15" i="5"/>
  <c r="W18" i="4"/>
  <c r="X17" i="4"/>
  <c r="AD17" i="4"/>
  <c r="AC18" i="4"/>
  <c r="T17" i="4"/>
  <c r="U16" i="4"/>
  <c r="L16" i="4"/>
  <c r="K17" i="4"/>
  <c r="R18" i="4"/>
  <c r="Q19" i="4"/>
  <c r="Z19" i="4"/>
  <c r="AA18" i="4"/>
  <c r="O17" i="4"/>
  <c r="N18" i="4"/>
  <c r="H18" i="13" l="1"/>
  <c r="I17" i="13"/>
  <c r="M17" i="13"/>
  <c r="L17" i="13"/>
  <c r="Q17" i="13"/>
  <c r="O17" i="13"/>
  <c r="N17" i="13"/>
  <c r="J17" i="13"/>
  <c r="K17" i="13"/>
  <c r="S16" i="13"/>
  <c r="R16" i="13"/>
  <c r="T16" i="13" s="1"/>
  <c r="H18" i="12"/>
  <c r="O17" i="12"/>
  <c r="Q17" i="12"/>
  <c r="N17" i="12"/>
  <c r="M17" i="12"/>
  <c r="L17" i="12"/>
  <c r="K17" i="12"/>
  <c r="J17" i="12"/>
  <c r="I17" i="12"/>
  <c r="S16" i="12"/>
  <c r="R16" i="12" s="1"/>
  <c r="T16" i="12" s="1"/>
  <c r="R15" i="11"/>
  <c r="T15" i="11" s="1"/>
  <c r="S15" i="11"/>
  <c r="Q16" i="11"/>
  <c r="O16" i="11"/>
  <c r="N16" i="11"/>
  <c r="M16" i="11"/>
  <c r="L16" i="11"/>
  <c r="K16" i="11"/>
  <c r="J16" i="11"/>
  <c r="I16" i="11"/>
  <c r="H17" i="11"/>
  <c r="T14" i="11"/>
  <c r="K16" i="10"/>
  <c r="Q16" i="10"/>
  <c r="J16" i="10"/>
  <c r="O16" i="10"/>
  <c r="I16" i="10"/>
  <c r="N16" i="10"/>
  <c r="M16" i="10"/>
  <c r="L16" i="10"/>
  <c r="H17" i="10"/>
  <c r="S15" i="10"/>
  <c r="R15" i="10" s="1"/>
  <c r="T15" i="10" s="1"/>
  <c r="R15" i="8"/>
  <c r="S15" i="8"/>
  <c r="K16" i="8"/>
  <c r="Q16" i="8"/>
  <c r="I16" i="8"/>
  <c r="O16" i="8"/>
  <c r="N16" i="8"/>
  <c r="H17" i="8"/>
  <c r="M16" i="8"/>
  <c r="L16" i="8"/>
  <c r="J16" i="8"/>
  <c r="S15" i="7"/>
  <c r="R15" i="7" s="1"/>
  <c r="T15" i="7" s="1"/>
  <c r="U15" i="7" s="1"/>
  <c r="Q16" i="7"/>
  <c r="O16" i="7"/>
  <c r="N16" i="7"/>
  <c r="H17" i="7"/>
  <c r="M16" i="7"/>
  <c r="L16" i="7"/>
  <c r="K16" i="7"/>
  <c r="J16" i="7"/>
  <c r="I16" i="7"/>
  <c r="T14" i="6"/>
  <c r="U14" i="6" s="1"/>
  <c r="S15" i="6"/>
  <c r="R15" i="6"/>
  <c r="T15" i="6" s="1"/>
  <c r="U15" i="6" s="1"/>
  <c r="Q16" i="6"/>
  <c r="O16" i="6"/>
  <c r="N16" i="6"/>
  <c r="M16" i="6"/>
  <c r="L16" i="6"/>
  <c r="K16" i="6"/>
  <c r="J16" i="6"/>
  <c r="I16" i="6"/>
  <c r="H17" i="6"/>
  <c r="S15" i="5"/>
  <c r="R15" i="5" s="1"/>
  <c r="T15" i="5" s="1"/>
  <c r="U15" i="5" s="1"/>
  <c r="M16" i="5"/>
  <c r="Q16" i="5"/>
  <c r="L16" i="5"/>
  <c r="K16" i="5"/>
  <c r="J16" i="5"/>
  <c r="I16" i="5"/>
  <c r="N16" i="5"/>
  <c r="H17" i="5"/>
  <c r="O16" i="5"/>
  <c r="O18" i="4"/>
  <c r="N19" i="4"/>
  <c r="L17" i="4"/>
  <c r="K18" i="4"/>
  <c r="AA19" i="4"/>
  <c r="Z20" i="4"/>
  <c r="AD18" i="4"/>
  <c r="AC19" i="4"/>
  <c r="R19" i="4"/>
  <c r="Q20" i="4"/>
  <c r="U17" i="4"/>
  <c r="T18" i="4"/>
  <c r="X18" i="4"/>
  <c r="W19" i="4"/>
  <c r="S17" i="13" l="1"/>
  <c r="R17" i="13"/>
  <c r="T17" i="13" s="1"/>
  <c r="I18" i="13"/>
  <c r="H19" i="13"/>
  <c r="O18" i="13"/>
  <c r="J18" i="13"/>
  <c r="L18" i="13"/>
  <c r="Q18" i="13"/>
  <c r="N18" i="13"/>
  <c r="M18" i="13"/>
  <c r="K18" i="13"/>
  <c r="S17" i="12"/>
  <c r="R17" i="12" s="1"/>
  <c r="T17" i="12" s="1"/>
  <c r="I18" i="12"/>
  <c r="O18" i="12"/>
  <c r="H19" i="12"/>
  <c r="Q18" i="12"/>
  <c r="K18" i="12"/>
  <c r="J18" i="12"/>
  <c r="N18" i="12"/>
  <c r="M18" i="12"/>
  <c r="L18" i="12"/>
  <c r="H18" i="11"/>
  <c r="Q17" i="11"/>
  <c r="O17" i="11"/>
  <c r="N17" i="11"/>
  <c r="M17" i="11"/>
  <c r="L17" i="11"/>
  <c r="K17" i="11"/>
  <c r="J17" i="11"/>
  <c r="I17" i="11"/>
  <c r="S16" i="11"/>
  <c r="R16" i="11"/>
  <c r="T16" i="11" s="1"/>
  <c r="H18" i="10"/>
  <c r="M17" i="10"/>
  <c r="J17" i="10"/>
  <c r="K17" i="10"/>
  <c r="N17" i="10"/>
  <c r="L17" i="10"/>
  <c r="Q17" i="10"/>
  <c r="O17" i="10"/>
  <c r="I17" i="10"/>
  <c r="S16" i="10"/>
  <c r="R16" i="10" s="1"/>
  <c r="T16" i="10" s="1"/>
  <c r="S16" i="8"/>
  <c r="R16" i="8"/>
  <c r="T16" i="8" s="1"/>
  <c r="U16" i="8" s="1"/>
  <c r="H18" i="8"/>
  <c r="L17" i="8"/>
  <c r="I17" i="8"/>
  <c r="O17" i="8"/>
  <c r="N17" i="8"/>
  <c r="J17" i="8"/>
  <c r="Q17" i="8"/>
  <c r="K17" i="8"/>
  <c r="M17" i="8"/>
  <c r="T15" i="8"/>
  <c r="U15" i="8" s="1"/>
  <c r="H18" i="7"/>
  <c r="J17" i="7"/>
  <c r="Q17" i="7"/>
  <c r="O17" i="7"/>
  <c r="N17" i="7"/>
  <c r="M17" i="7"/>
  <c r="L17" i="7"/>
  <c r="K17" i="7"/>
  <c r="I17" i="7"/>
  <c r="S16" i="7"/>
  <c r="R16" i="7" s="1"/>
  <c r="T16" i="7" s="1"/>
  <c r="U16" i="7" s="1"/>
  <c r="S16" i="6"/>
  <c r="R16" i="6"/>
  <c r="Q17" i="6"/>
  <c r="H18" i="6"/>
  <c r="O17" i="6"/>
  <c r="K17" i="6"/>
  <c r="N17" i="6"/>
  <c r="M17" i="6"/>
  <c r="L17" i="6"/>
  <c r="J17" i="6"/>
  <c r="I17" i="6"/>
  <c r="T16" i="6"/>
  <c r="U16" i="6" s="1"/>
  <c r="S16" i="5"/>
  <c r="R16" i="5" s="1"/>
  <c r="T16" i="5" s="1"/>
  <c r="U16" i="5" s="1"/>
  <c r="Q17" i="5"/>
  <c r="O17" i="5"/>
  <c r="H18" i="5"/>
  <c r="N17" i="5"/>
  <c r="M17" i="5"/>
  <c r="L17" i="5"/>
  <c r="K17" i="5"/>
  <c r="J17" i="5"/>
  <c r="I17" i="5"/>
  <c r="X19" i="4"/>
  <c r="W20" i="4"/>
  <c r="Q21" i="4"/>
  <c r="R20" i="4"/>
  <c r="U18" i="4"/>
  <c r="T19" i="4"/>
  <c r="AA20" i="4"/>
  <c r="Z21" i="4"/>
  <c r="AC20" i="4"/>
  <c r="AD19" i="4"/>
  <c r="L18" i="4"/>
  <c r="K19" i="4"/>
  <c r="N20" i="4"/>
  <c r="O19" i="4"/>
  <c r="R18" i="13" l="1"/>
  <c r="S18" i="13"/>
  <c r="L19" i="13"/>
  <c r="K19" i="13"/>
  <c r="J19" i="13"/>
  <c r="I19" i="13"/>
  <c r="M19" i="13"/>
  <c r="H20" i="13"/>
  <c r="Q19" i="13"/>
  <c r="O19" i="13"/>
  <c r="N19" i="13"/>
  <c r="L19" i="12"/>
  <c r="K19" i="12"/>
  <c r="J19" i="12"/>
  <c r="I19" i="12"/>
  <c r="H20" i="12"/>
  <c r="N19" i="12"/>
  <c r="M19" i="12"/>
  <c r="Q19" i="12"/>
  <c r="O19" i="12"/>
  <c r="S18" i="12"/>
  <c r="R18" i="12" s="1"/>
  <c r="T18" i="12" s="1"/>
  <c r="R17" i="11"/>
  <c r="S17" i="11"/>
  <c r="H19" i="11"/>
  <c r="Q18" i="11"/>
  <c r="O18" i="11"/>
  <c r="N18" i="11"/>
  <c r="M18" i="11"/>
  <c r="L18" i="11"/>
  <c r="K18" i="11"/>
  <c r="I18" i="11"/>
  <c r="J18" i="11"/>
  <c r="S17" i="10"/>
  <c r="R17" i="10" s="1"/>
  <c r="T17" i="10" s="1"/>
  <c r="H19" i="10"/>
  <c r="O18" i="10"/>
  <c r="N18" i="10"/>
  <c r="M18" i="10"/>
  <c r="Q18" i="10"/>
  <c r="L18" i="10"/>
  <c r="J18" i="10"/>
  <c r="K18" i="10"/>
  <c r="I18" i="10"/>
  <c r="S17" i="8"/>
  <c r="R17" i="8"/>
  <c r="T17" i="8" s="1"/>
  <c r="U17" i="8" s="1"/>
  <c r="N18" i="8"/>
  <c r="I18" i="8"/>
  <c r="H19" i="8"/>
  <c r="O18" i="8"/>
  <c r="M18" i="8"/>
  <c r="L18" i="8"/>
  <c r="J18" i="8"/>
  <c r="Q18" i="8"/>
  <c r="K18" i="8"/>
  <c r="S17" i="7"/>
  <c r="R17" i="7" s="1"/>
  <c r="T17" i="7" s="1"/>
  <c r="U17" i="7" s="1"/>
  <c r="H19" i="7"/>
  <c r="M18" i="7"/>
  <c r="J18" i="7"/>
  <c r="I18" i="7"/>
  <c r="Q18" i="7"/>
  <c r="K18" i="7"/>
  <c r="O18" i="7"/>
  <c r="N18" i="7"/>
  <c r="L18" i="7"/>
  <c r="R17" i="6"/>
  <c r="S17" i="6"/>
  <c r="I18" i="6"/>
  <c r="H19" i="6"/>
  <c r="N18" i="6"/>
  <c r="Q18" i="6"/>
  <c r="O18" i="6"/>
  <c r="M18" i="6"/>
  <c r="K18" i="6"/>
  <c r="J18" i="6"/>
  <c r="L18" i="6"/>
  <c r="T17" i="6"/>
  <c r="U17" i="6" s="1"/>
  <c r="S17" i="5"/>
  <c r="R17" i="5" s="1"/>
  <c r="T17" i="5" s="1"/>
  <c r="U17" i="5" s="1"/>
  <c r="K18" i="5"/>
  <c r="J18" i="5"/>
  <c r="H19" i="5"/>
  <c r="Q18" i="5"/>
  <c r="O18" i="5"/>
  <c r="N18" i="5"/>
  <c r="M18" i="5"/>
  <c r="L18" i="5"/>
  <c r="I18" i="5"/>
  <c r="O20" i="4"/>
  <c r="N21" i="4"/>
  <c r="U19" i="4"/>
  <c r="T20" i="4"/>
  <c r="L19" i="4"/>
  <c r="K20" i="4"/>
  <c r="AA21" i="4"/>
  <c r="Z22" i="4"/>
  <c r="AD20" i="4"/>
  <c r="AC21" i="4"/>
  <c r="R21" i="4"/>
  <c r="Q22" i="4"/>
  <c r="X20" i="4"/>
  <c r="W21" i="4"/>
  <c r="R19" i="13" l="1"/>
  <c r="S19" i="13"/>
  <c r="O20" i="13"/>
  <c r="N20" i="13"/>
  <c r="M20" i="13"/>
  <c r="L20" i="13"/>
  <c r="K20" i="13"/>
  <c r="Q20" i="13"/>
  <c r="J20" i="13"/>
  <c r="I20" i="13"/>
  <c r="H21" i="13"/>
  <c r="T18" i="13"/>
  <c r="S19" i="12"/>
  <c r="R19" i="12" s="1"/>
  <c r="T19" i="12" s="1"/>
  <c r="O20" i="12"/>
  <c r="N20" i="12"/>
  <c r="M20" i="12"/>
  <c r="L20" i="12"/>
  <c r="Q20" i="12"/>
  <c r="K20" i="12"/>
  <c r="J20" i="12"/>
  <c r="I20" i="12"/>
  <c r="H21" i="12"/>
  <c r="R18" i="11"/>
  <c r="S18" i="11"/>
  <c r="K19" i="11"/>
  <c r="J19" i="11"/>
  <c r="I19" i="11"/>
  <c r="L19" i="11"/>
  <c r="H20" i="11"/>
  <c r="Q19" i="11"/>
  <c r="O19" i="11"/>
  <c r="N19" i="11"/>
  <c r="M19" i="11"/>
  <c r="T17" i="11"/>
  <c r="K19" i="10"/>
  <c r="J19" i="10"/>
  <c r="I19" i="10"/>
  <c r="Q19" i="10"/>
  <c r="H20" i="10"/>
  <c r="O19" i="10"/>
  <c r="L19" i="10"/>
  <c r="N19" i="10"/>
  <c r="M19" i="10"/>
  <c r="S18" i="10"/>
  <c r="R18" i="10" s="1"/>
  <c r="T18" i="10" s="1"/>
  <c r="R18" i="8"/>
  <c r="S18" i="8"/>
  <c r="K19" i="8"/>
  <c r="J19" i="8"/>
  <c r="I19" i="8"/>
  <c r="Q19" i="8"/>
  <c r="O19" i="8"/>
  <c r="H20" i="8"/>
  <c r="N19" i="8"/>
  <c r="L19" i="8"/>
  <c r="M19" i="8"/>
  <c r="S18" i="7"/>
  <c r="R18" i="7" s="1"/>
  <c r="T18" i="7" s="1"/>
  <c r="U18" i="7" s="1"/>
  <c r="K19" i="7"/>
  <c r="J19" i="7"/>
  <c r="Q19" i="7"/>
  <c r="N19" i="7"/>
  <c r="I19" i="7"/>
  <c r="L19" i="7"/>
  <c r="H20" i="7"/>
  <c r="M19" i="7"/>
  <c r="O19" i="7"/>
  <c r="S18" i="6"/>
  <c r="R18" i="6"/>
  <c r="J19" i="6"/>
  <c r="I19" i="6"/>
  <c r="K19" i="6"/>
  <c r="M19" i="6"/>
  <c r="H20" i="6"/>
  <c r="L19" i="6"/>
  <c r="Q19" i="6"/>
  <c r="O19" i="6"/>
  <c r="N19" i="6"/>
  <c r="T18" i="6"/>
  <c r="U18" i="6" s="1"/>
  <c r="S18" i="5"/>
  <c r="R18" i="5" s="1"/>
  <c r="T18" i="5" s="1"/>
  <c r="U18" i="5" s="1"/>
  <c r="L19" i="5"/>
  <c r="Q19" i="5"/>
  <c r="K19" i="5"/>
  <c r="J19" i="5"/>
  <c r="I19" i="5"/>
  <c r="N19" i="5"/>
  <c r="O19" i="5"/>
  <c r="H20" i="5"/>
  <c r="M19" i="5"/>
  <c r="R22" i="4"/>
  <c r="Q23" i="4"/>
  <c r="L20" i="4"/>
  <c r="K21" i="4"/>
  <c r="X21" i="4"/>
  <c r="W22" i="4"/>
  <c r="AA22" i="4"/>
  <c r="Z23" i="4"/>
  <c r="AD21" i="4"/>
  <c r="AC22" i="4"/>
  <c r="U20" i="4"/>
  <c r="T21" i="4"/>
  <c r="O21" i="4"/>
  <c r="N22" i="4"/>
  <c r="Q21" i="13" l="1"/>
  <c r="O21" i="13"/>
  <c r="N21" i="13"/>
  <c r="M21" i="13"/>
  <c r="L21" i="13"/>
  <c r="K21" i="13"/>
  <c r="J21" i="13"/>
  <c r="I21" i="13"/>
  <c r="H22" i="13"/>
  <c r="S20" i="13"/>
  <c r="R20" i="13"/>
  <c r="T20" i="13" s="1"/>
  <c r="T19" i="13"/>
  <c r="Q21" i="12"/>
  <c r="O21" i="12"/>
  <c r="N21" i="12"/>
  <c r="M21" i="12"/>
  <c r="L21" i="12"/>
  <c r="K21" i="12"/>
  <c r="J21" i="12"/>
  <c r="I21" i="12"/>
  <c r="H22" i="12"/>
  <c r="S20" i="12"/>
  <c r="R20" i="12" s="1"/>
  <c r="T20" i="12" s="1"/>
  <c r="S19" i="11"/>
  <c r="R19" i="11"/>
  <c r="T19" i="11" s="1"/>
  <c r="N20" i="11"/>
  <c r="M20" i="11"/>
  <c r="L20" i="11"/>
  <c r="K20" i="11"/>
  <c r="J20" i="11"/>
  <c r="I20" i="11"/>
  <c r="O20" i="11"/>
  <c r="H21" i="11"/>
  <c r="Q20" i="11"/>
  <c r="T18" i="11"/>
  <c r="N20" i="10"/>
  <c r="M20" i="10"/>
  <c r="H21" i="10"/>
  <c r="L20" i="10"/>
  <c r="K20" i="10"/>
  <c r="J20" i="10"/>
  <c r="I20" i="10"/>
  <c r="Q20" i="10"/>
  <c r="O20" i="10"/>
  <c r="S19" i="10"/>
  <c r="R19" i="10" s="1"/>
  <c r="T19" i="10" s="1"/>
  <c r="N20" i="8"/>
  <c r="M20" i="8"/>
  <c r="L20" i="8"/>
  <c r="K20" i="8"/>
  <c r="J20" i="8"/>
  <c r="H21" i="8"/>
  <c r="I20" i="8"/>
  <c r="Q20" i="8"/>
  <c r="O20" i="8"/>
  <c r="R19" i="8"/>
  <c r="S19" i="8"/>
  <c r="T18" i="8"/>
  <c r="U18" i="8" s="1"/>
  <c r="N20" i="7"/>
  <c r="M20" i="7"/>
  <c r="Q20" i="7"/>
  <c r="L20" i="7"/>
  <c r="K20" i="7"/>
  <c r="J20" i="7"/>
  <c r="I20" i="7"/>
  <c r="H21" i="7"/>
  <c r="O20" i="7"/>
  <c r="S19" i="7"/>
  <c r="R19" i="7" s="1"/>
  <c r="T19" i="7" s="1"/>
  <c r="U19" i="7" s="1"/>
  <c r="R19" i="6"/>
  <c r="S19" i="6"/>
  <c r="M20" i="6"/>
  <c r="L20" i="6"/>
  <c r="K20" i="6"/>
  <c r="Q20" i="6"/>
  <c r="J20" i="6"/>
  <c r="I20" i="6"/>
  <c r="H21" i="6"/>
  <c r="O20" i="6"/>
  <c r="N20" i="6"/>
  <c r="S19" i="5"/>
  <c r="R19" i="5" s="1"/>
  <c r="T19" i="5" s="1"/>
  <c r="U19" i="5" s="1"/>
  <c r="Q20" i="5"/>
  <c r="O20" i="5"/>
  <c r="N20" i="5"/>
  <c r="M20" i="5"/>
  <c r="L20" i="5"/>
  <c r="K20" i="5"/>
  <c r="J20" i="5"/>
  <c r="I20" i="5"/>
  <c r="H21" i="5"/>
  <c r="T22" i="4"/>
  <c r="U21" i="4"/>
  <c r="W23" i="4"/>
  <c r="X22" i="4"/>
  <c r="N23" i="4"/>
  <c r="O22" i="4"/>
  <c r="Z24" i="4"/>
  <c r="AA23" i="4"/>
  <c r="AD22" i="4"/>
  <c r="AC23" i="4"/>
  <c r="K22" i="4"/>
  <c r="L21" i="4"/>
  <c r="Q24" i="4"/>
  <c r="R23" i="4"/>
  <c r="H23" i="13" l="1"/>
  <c r="I22" i="13"/>
  <c r="Q22" i="13"/>
  <c r="O22" i="13"/>
  <c r="N22" i="13"/>
  <c r="M22" i="13"/>
  <c r="L22" i="13"/>
  <c r="K22" i="13"/>
  <c r="J22" i="13"/>
  <c r="R21" i="13"/>
  <c r="T21" i="13" s="1"/>
  <c r="S21" i="13"/>
  <c r="H23" i="12"/>
  <c r="Q22" i="12"/>
  <c r="O22" i="12"/>
  <c r="N22" i="12"/>
  <c r="M22" i="12"/>
  <c r="L22" i="12"/>
  <c r="K22" i="12"/>
  <c r="J22" i="12"/>
  <c r="I22" i="12"/>
  <c r="S21" i="12"/>
  <c r="R21" i="12" s="1"/>
  <c r="T21" i="12" s="1"/>
  <c r="Q21" i="11"/>
  <c r="O21" i="11"/>
  <c r="N21" i="11"/>
  <c r="M21" i="11"/>
  <c r="L21" i="11"/>
  <c r="K21" i="11"/>
  <c r="J21" i="11"/>
  <c r="I21" i="11"/>
  <c r="H22" i="11"/>
  <c r="S20" i="11"/>
  <c r="R20" i="11"/>
  <c r="T20" i="11" s="1"/>
  <c r="S20" i="10"/>
  <c r="R20" i="10" s="1"/>
  <c r="T20" i="10" s="1"/>
  <c r="Q21" i="10"/>
  <c r="O21" i="10"/>
  <c r="N21" i="10"/>
  <c r="I21" i="10"/>
  <c r="M21" i="10"/>
  <c r="L21" i="10"/>
  <c r="J21" i="10"/>
  <c r="K21" i="10"/>
  <c r="H22" i="10"/>
  <c r="R20" i="8"/>
  <c r="S20" i="8"/>
  <c r="T19" i="8"/>
  <c r="U19" i="8" s="1"/>
  <c r="Q21" i="8"/>
  <c r="K21" i="8"/>
  <c r="O21" i="8"/>
  <c r="N21" i="8"/>
  <c r="M21" i="8"/>
  <c r="J21" i="8"/>
  <c r="L21" i="8"/>
  <c r="I21" i="8"/>
  <c r="H22" i="8"/>
  <c r="Q21" i="7"/>
  <c r="O21" i="7"/>
  <c r="N21" i="7"/>
  <c r="M21" i="7"/>
  <c r="L21" i="7"/>
  <c r="K21" i="7"/>
  <c r="J21" i="7"/>
  <c r="I21" i="7"/>
  <c r="H22" i="7"/>
  <c r="S20" i="7"/>
  <c r="R20" i="7" s="1"/>
  <c r="T20" i="7" s="1"/>
  <c r="U20" i="7" s="1"/>
  <c r="T19" i="6"/>
  <c r="U19" i="6" s="1"/>
  <c r="R20" i="6"/>
  <c r="S20" i="6"/>
  <c r="T20" i="6" s="1"/>
  <c r="U20" i="6" s="1"/>
  <c r="Q21" i="6"/>
  <c r="O21" i="6"/>
  <c r="N21" i="6"/>
  <c r="M21" i="6"/>
  <c r="L21" i="6"/>
  <c r="K21" i="6"/>
  <c r="J21" i="6"/>
  <c r="I21" i="6"/>
  <c r="H22" i="6"/>
  <c r="S20" i="5"/>
  <c r="R20" i="5" s="1"/>
  <c r="T20" i="5" s="1"/>
  <c r="U20" i="5" s="1"/>
  <c r="H22" i="5"/>
  <c r="Q21" i="5"/>
  <c r="O21" i="5"/>
  <c r="N21" i="5"/>
  <c r="M21" i="5"/>
  <c r="L21" i="5"/>
  <c r="J21" i="5"/>
  <c r="K21" i="5"/>
  <c r="I21" i="5"/>
  <c r="L22" i="4"/>
  <c r="K23" i="4"/>
  <c r="R24" i="4"/>
  <c r="Q25" i="4"/>
  <c r="O23" i="4"/>
  <c r="N24" i="4"/>
  <c r="AD23" i="4"/>
  <c r="AC24" i="4"/>
  <c r="AA24" i="4"/>
  <c r="Z25" i="4"/>
  <c r="X23" i="4"/>
  <c r="W24" i="4"/>
  <c r="U22" i="4"/>
  <c r="T23" i="4"/>
  <c r="R22" i="13" l="1"/>
  <c r="S22" i="13"/>
  <c r="I23" i="13"/>
  <c r="H24" i="13"/>
  <c r="L23" i="13"/>
  <c r="Q23" i="13"/>
  <c r="O23" i="13"/>
  <c r="N23" i="13"/>
  <c r="M23" i="13"/>
  <c r="K23" i="13"/>
  <c r="J23" i="13"/>
  <c r="S22" i="12"/>
  <c r="R22" i="12" s="1"/>
  <c r="T22" i="12" s="1"/>
  <c r="I23" i="12"/>
  <c r="H24" i="12"/>
  <c r="Q23" i="12"/>
  <c r="O23" i="12"/>
  <c r="N23" i="12"/>
  <c r="M23" i="12"/>
  <c r="L23" i="12"/>
  <c r="K23" i="12"/>
  <c r="J23" i="12"/>
  <c r="Q22" i="11"/>
  <c r="O22" i="11"/>
  <c r="N22" i="11"/>
  <c r="M22" i="11"/>
  <c r="L22" i="11"/>
  <c r="K22" i="11"/>
  <c r="J22" i="11"/>
  <c r="I22" i="11"/>
  <c r="H23" i="11"/>
  <c r="S21" i="11"/>
  <c r="R21" i="11"/>
  <c r="T21" i="11" s="1"/>
  <c r="M22" i="10"/>
  <c r="L22" i="10"/>
  <c r="J22" i="10"/>
  <c r="I22" i="10"/>
  <c r="Q22" i="10"/>
  <c r="O22" i="10"/>
  <c r="K22" i="10"/>
  <c r="N22" i="10"/>
  <c r="H23" i="10"/>
  <c r="S21" i="10"/>
  <c r="R21" i="10" s="1"/>
  <c r="T21" i="10" s="1"/>
  <c r="M22" i="8"/>
  <c r="J22" i="8"/>
  <c r="K22" i="8"/>
  <c r="H23" i="8"/>
  <c r="N22" i="8"/>
  <c r="Q22" i="8"/>
  <c r="I22" i="8"/>
  <c r="O22" i="8"/>
  <c r="L22" i="8"/>
  <c r="S21" i="8"/>
  <c r="R21" i="8"/>
  <c r="T21" i="8" s="1"/>
  <c r="U21" i="8" s="1"/>
  <c r="T20" i="8"/>
  <c r="U20" i="8" s="1"/>
  <c r="H23" i="7"/>
  <c r="Q22" i="7"/>
  <c r="O22" i="7"/>
  <c r="N22" i="7"/>
  <c r="I22" i="7"/>
  <c r="M22" i="7"/>
  <c r="L22" i="7"/>
  <c r="K22" i="7"/>
  <c r="J22" i="7"/>
  <c r="S21" i="7"/>
  <c r="R21" i="7" s="1"/>
  <c r="T21" i="7" s="1"/>
  <c r="U21" i="7" s="1"/>
  <c r="S21" i="6"/>
  <c r="R21" i="6"/>
  <c r="H23" i="6"/>
  <c r="Q22" i="6"/>
  <c r="O22" i="6"/>
  <c r="N22" i="6"/>
  <c r="J22" i="6"/>
  <c r="M22" i="6"/>
  <c r="L22" i="6"/>
  <c r="K22" i="6"/>
  <c r="I22" i="6"/>
  <c r="T21" i="6"/>
  <c r="U21" i="6" s="1"/>
  <c r="S21" i="5"/>
  <c r="R21" i="5" s="1"/>
  <c r="T21" i="5" s="1"/>
  <c r="U21" i="5" s="1"/>
  <c r="K22" i="5"/>
  <c r="L22" i="5"/>
  <c r="J22" i="5"/>
  <c r="I22" i="5"/>
  <c r="N22" i="5"/>
  <c r="H23" i="5"/>
  <c r="O22" i="5"/>
  <c r="M22" i="5"/>
  <c r="Q22" i="5"/>
  <c r="X24" i="4"/>
  <c r="W25" i="4"/>
  <c r="T24" i="4"/>
  <c r="U23" i="4"/>
  <c r="AD24" i="4"/>
  <c r="AC25" i="4"/>
  <c r="AA25" i="4"/>
  <c r="Z26" i="4"/>
  <c r="O24" i="4"/>
  <c r="N25" i="4"/>
  <c r="R25" i="4"/>
  <c r="Q26" i="4"/>
  <c r="L23" i="4"/>
  <c r="K24" i="4"/>
  <c r="K24" i="13" l="1"/>
  <c r="J24" i="13"/>
  <c r="I24" i="13"/>
  <c r="H25" i="13"/>
  <c r="Q24" i="13"/>
  <c r="O24" i="13"/>
  <c r="N24" i="13"/>
  <c r="L24" i="13"/>
  <c r="M24" i="13"/>
  <c r="R23" i="13"/>
  <c r="T23" i="13" s="1"/>
  <c r="S23" i="13"/>
  <c r="T22" i="13"/>
  <c r="K24" i="12"/>
  <c r="J24" i="12"/>
  <c r="I24" i="12"/>
  <c r="H25" i="12"/>
  <c r="L24" i="12"/>
  <c r="Q24" i="12"/>
  <c r="O24" i="12"/>
  <c r="N24" i="12"/>
  <c r="M24" i="12"/>
  <c r="S23" i="12"/>
  <c r="R23" i="12" s="1"/>
  <c r="T23" i="12" s="1"/>
  <c r="H24" i="11"/>
  <c r="Q23" i="11"/>
  <c r="O23" i="11"/>
  <c r="N23" i="11"/>
  <c r="M23" i="11"/>
  <c r="L23" i="11"/>
  <c r="K23" i="11"/>
  <c r="J23" i="11"/>
  <c r="I23" i="11"/>
  <c r="S22" i="11"/>
  <c r="R22" i="11"/>
  <c r="T22" i="11" s="1"/>
  <c r="N23" i="10"/>
  <c r="H24" i="10"/>
  <c r="L23" i="10"/>
  <c r="O23" i="10"/>
  <c r="M23" i="10"/>
  <c r="Q23" i="10"/>
  <c r="K23" i="10"/>
  <c r="J23" i="10"/>
  <c r="I23" i="10"/>
  <c r="S22" i="10"/>
  <c r="R22" i="10" s="1"/>
  <c r="T22" i="10" s="1"/>
  <c r="R22" i="8"/>
  <c r="S22" i="8"/>
  <c r="L23" i="8"/>
  <c r="Q23" i="8"/>
  <c r="M23" i="8"/>
  <c r="H24" i="8"/>
  <c r="I23" i="8"/>
  <c r="J23" i="8"/>
  <c r="K23" i="8"/>
  <c r="O23" i="8"/>
  <c r="N23" i="8"/>
  <c r="S22" i="7"/>
  <c r="R22" i="7" s="1"/>
  <c r="T22" i="7" s="1"/>
  <c r="U22" i="7" s="1"/>
  <c r="H24" i="7"/>
  <c r="L23" i="7"/>
  <c r="J23" i="7"/>
  <c r="Q23" i="7"/>
  <c r="O23" i="7"/>
  <c r="I23" i="7"/>
  <c r="N23" i="7"/>
  <c r="M23" i="7"/>
  <c r="K23" i="7"/>
  <c r="S22" i="6"/>
  <c r="R22" i="6"/>
  <c r="H24" i="6"/>
  <c r="I23" i="6"/>
  <c r="M23" i="6"/>
  <c r="Q23" i="6"/>
  <c r="O23" i="6"/>
  <c r="N23" i="6"/>
  <c r="L23" i="6"/>
  <c r="K23" i="6"/>
  <c r="J23" i="6"/>
  <c r="S22" i="5"/>
  <c r="R22" i="5" s="1"/>
  <c r="T22" i="5" s="1"/>
  <c r="U22" i="5" s="1"/>
  <c r="Q23" i="5"/>
  <c r="O23" i="5"/>
  <c r="N23" i="5"/>
  <c r="M23" i="5"/>
  <c r="L23" i="5"/>
  <c r="K23" i="5"/>
  <c r="J23" i="5"/>
  <c r="H24" i="5"/>
  <c r="I23" i="5"/>
  <c r="R26" i="4"/>
  <c r="Q27" i="4"/>
  <c r="Z27" i="4"/>
  <c r="AA26" i="4"/>
  <c r="AD25" i="4"/>
  <c r="AC26" i="4"/>
  <c r="L24" i="4"/>
  <c r="K25" i="4"/>
  <c r="O25" i="4"/>
  <c r="N26" i="4"/>
  <c r="T25" i="4"/>
  <c r="U24" i="4"/>
  <c r="W26" i="4"/>
  <c r="X25" i="4"/>
  <c r="R24" i="13" l="1"/>
  <c r="S24" i="13"/>
  <c r="N25" i="13"/>
  <c r="M25" i="13"/>
  <c r="L25" i="13"/>
  <c r="K25" i="13"/>
  <c r="J25" i="13"/>
  <c r="I25" i="13"/>
  <c r="O25" i="13"/>
  <c r="H26" i="13"/>
  <c r="Q25" i="13"/>
  <c r="S24" i="12"/>
  <c r="R24" i="12" s="1"/>
  <c r="T24" i="12" s="1"/>
  <c r="N25" i="12"/>
  <c r="M25" i="12"/>
  <c r="O25" i="12"/>
  <c r="L25" i="12"/>
  <c r="K25" i="12"/>
  <c r="J25" i="12"/>
  <c r="I25" i="12"/>
  <c r="H26" i="12"/>
  <c r="Q25" i="12"/>
  <c r="S23" i="11"/>
  <c r="R23" i="11"/>
  <c r="T23" i="11" s="1"/>
  <c r="J24" i="11"/>
  <c r="I24" i="11"/>
  <c r="H25" i="11"/>
  <c r="Q24" i="11"/>
  <c r="O24" i="11"/>
  <c r="N24" i="11"/>
  <c r="M24" i="11"/>
  <c r="K24" i="11"/>
  <c r="L24" i="11"/>
  <c r="S23" i="10"/>
  <c r="R23" i="10" s="1"/>
  <c r="T23" i="10" s="1"/>
  <c r="J24" i="10"/>
  <c r="I24" i="10"/>
  <c r="Q24" i="10"/>
  <c r="O24" i="10"/>
  <c r="H25" i="10"/>
  <c r="N24" i="10"/>
  <c r="L24" i="10"/>
  <c r="K24" i="10"/>
  <c r="M24" i="10"/>
  <c r="R23" i="8"/>
  <c r="S23" i="8"/>
  <c r="J24" i="8"/>
  <c r="I24" i="8"/>
  <c r="L24" i="8"/>
  <c r="Q24" i="8"/>
  <c r="O24" i="8"/>
  <c r="H25" i="8"/>
  <c r="N24" i="8"/>
  <c r="M24" i="8"/>
  <c r="K24" i="8"/>
  <c r="T22" i="8"/>
  <c r="U22" i="8" s="1"/>
  <c r="S23" i="7"/>
  <c r="R23" i="7" s="1"/>
  <c r="T23" i="7" s="1"/>
  <c r="U23" i="7" s="1"/>
  <c r="J24" i="7"/>
  <c r="I24" i="7"/>
  <c r="O24" i="7"/>
  <c r="H25" i="7"/>
  <c r="K24" i="7"/>
  <c r="L24" i="7"/>
  <c r="Q24" i="7"/>
  <c r="N24" i="7"/>
  <c r="M24" i="7"/>
  <c r="T22" i="6"/>
  <c r="U22" i="6" s="1"/>
  <c r="S23" i="6"/>
  <c r="R23" i="6"/>
  <c r="I24" i="6"/>
  <c r="Q24" i="6"/>
  <c r="H25" i="6"/>
  <c r="L24" i="6"/>
  <c r="J24" i="6"/>
  <c r="O24" i="6"/>
  <c r="K24" i="6"/>
  <c r="N24" i="6"/>
  <c r="M24" i="6"/>
  <c r="T23" i="6"/>
  <c r="U23" i="6" s="1"/>
  <c r="S23" i="5"/>
  <c r="R23" i="5" s="1"/>
  <c r="T23" i="5" s="1"/>
  <c r="U23" i="5" s="1"/>
  <c r="H25" i="5"/>
  <c r="Q24" i="5"/>
  <c r="O24" i="5"/>
  <c r="N24" i="5"/>
  <c r="M24" i="5"/>
  <c r="L24" i="5"/>
  <c r="K24" i="5"/>
  <c r="J24" i="5"/>
  <c r="I24" i="5"/>
  <c r="U25" i="4"/>
  <c r="T26" i="4"/>
  <c r="X26" i="4"/>
  <c r="W27" i="4"/>
  <c r="AD26" i="4"/>
  <c r="AC27" i="4"/>
  <c r="L25" i="4"/>
  <c r="K26" i="4"/>
  <c r="O26" i="4"/>
  <c r="N27" i="4"/>
  <c r="AA27" i="4"/>
  <c r="Z28" i="4"/>
  <c r="R27" i="4"/>
  <c r="Q28" i="4"/>
  <c r="Q26" i="13" l="1"/>
  <c r="O26" i="13"/>
  <c r="N26" i="13"/>
  <c r="M26" i="13"/>
  <c r="L26" i="13"/>
  <c r="K26" i="13"/>
  <c r="J26" i="13"/>
  <c r="I26" i="13"/>
  <c r="H27" i="13"/>
  <c r="S25" i="13"/>
  <c r="R25" i="13"/>
  <c r="T25" i="13" s="1"/>
  <c r="T24" i="13"/>
  <c r="S25" i="12"/>
  <c r="R25" i="12" s="1"/>
  <c r="T25" i="12" s="1"/>
  <c r="Q26" i="12"/>
  <c r="O26" i="12"/>
  <c r="N26" i="12"/>
  <c r="M26" i="12"/>
  <c r="L26" i="12"/>
  <c r="K26" i="12"/>
  <c r="J26" i="12"/>
  <c r="I26" i="12"/>
  <c r="H27" i="12"/>
  <c r="M25" i="11"/>
  <c r="L25" i="11"/>
  <c r="K25" i="11"/>
  <c r="J25" i="11"/>
  <c r="I25" i="11"/>
  <c r="H26" i="11"/>
  <c r="N25" i="11"/>
  <c r="Q25" i="11"/>
  <c r="O25" i="11"/>
  <c r="R24" i="11"/>
  <c r="T24" i="11" s="1"/>
  <c r="S24" i="11"/>
  <c r="S24" i="10"/>
  <c r="R24" i="10" s="1"/>
  <c r="T24" i="10" s="1"/>
  <c r="M25" i="10"/>
  <c r="H26" i="10"/>
  <c r="L25" i="10"/>
  <c r="K25" i="10"/>
  <c r="J25" i="10"/>
  <c r="I25" i="10"/>
  <c r="Q25" i="10"/>
  <c r="O25" i="10"/>
  <c r="N25" i="10"/>
  <c r="M25" i="8"/>
  <c r="O25" i="8"/>
  <c r="L25" i="8"/>
  <c r="K25" i="8"/>
  <c r="J25" i="8"/>
  <c r="I25" i="8"/>
  <c r="Q25" i="8"/>
  <c r="N25" i="8"/>
  <c r="H26" i="8"/>
  <c r="R24" i="8"/>
  <c r="S24" i="8"/>
  <c r="T23" i="8"/>
  <c r="U23" i="8" s="1"/>
  <c r="S24" i="7"/>
  <c r="R24" i="7" s="1"/>
  <c r="T24" i="7" s="1"/>
  <c r="U24" i="7" s="1"/>
  <c r="M25" i="7"/>
  <c r="L25" i="7"/>
  <c r="K25" i="7"/>
  <c r="J25" i="7"/>
  <c r="I25" i="7"/>
  <c r="O25" i="7"/>
  <c r="N25" i="7"/>
  <c r="Q25" i="7"/>
  <c r="H26" i="7"/>
  <c r="S24" i="6"/>
  <c r="R24" i="6"/>
  <c r="L25" i="6"/>
  <c r="K25" i="6"/>
  <c r="J25" i="6"/>
  <c r="I25" i="6"/>
  <c r="O25" i="6"/>
  <c r="H26" i="6"/>
  <c r="M25" i="6"/>
  <c r="Q25" i="6"/>
  <c r="N25" i="6"/>
  <c r="S24" i="5"/>
  <c r="R24" i="5" s="1"/>
  <c r="T24" i="5" s="1"/>
  <c r="U24" i="5" s="1"/>
  <c r="J25" i="5"/>
  <c r="I25" i="5"/>
  <c r="K25" i="5"/>
  <c r="L25" i="5"/>
  <c r="H26" i="5"/>
  <c r="N25" i="5"/>
  <c r="M25" i="5"/>
  <c r="Q25" i="5"/>
  <c r="O25" i="5"/>
  <c r="AA28" i="4"/>
  <c r="Z29" i="4"/>
  <c r="N28" i="4"/>
  <c r="O27" i="4"/>
  <c r="R28" i="4"/>
  <c r="Q29" i="4"/>
  <c r="K27" i="4"/>
  <c r="L26" i="4"/>
  <c r="AC28" i="4"/>
  <c r="AD27" i="4"/>
  <c r="X27" i="4"/>
  <c r="W28" i="4"/>
  <c r="U26" i="4"/>
  <c r="T27" i="4"/>
  <c r="H28" i="13" l="1"/>
  <c r="Q27" i="13"/>
  <c r="O27" i="13"/>
  <c r="N27" i="13"/>
  <c r="M27" i="13"/>
  <c r="L27" i="13"/>
  <c r="K27" i="13"/>
  <c r="J27" i="13"/>
  <c r="I27" i="13"/>
  <c r="S26" i="13"/>
  <c r="R26" i="13"/>
  <c r="T26" i="13" s="1"/>
  <c r="M27" i="12"/>
  <c r="Q27" i="12"/>
  <c r="O27" i="12"/>
  <c r="N27" i="12"/>
  <c r="J27" i="12"/>
  <c r="L27" i="12"/>
  <c r="K27" i="12"/>
  <c r="I27" i="12"/>
  <c r="H28" i="12"/>
  <c r="S26" i="12"/>
  <c r="R26" i="12" s="1"/>
  <c r="T26" i="12" s="1"/>
  <c r="R25" i="11"/>
  <c r="S25" i="11"/>
  <c r="Q26" i="11"/>
  <c r="O26" i="11"/>
  <c r="N26" i="11"/>
  <c r="M26" i="11"/>
  <c r="L26" i="11"/>
  <c r="K26" i="11"/>
  <c r="J26" i="11"/>
  <c r="I26" i="11"/>
  <c r="H27" i="11"/>
  <c r="S25" i="10"/>
  <c r="R25" i="10" s="1"/>
  <c r="T25" i="10" s="1"/>
  <c r="Q26" i="10"/>
  <c r="O26" i="10"/>
  <c r="N26" i="10"/>
  <c r="I26" i="10"/>
  <c r="M26" i="10"/>
  <c r="H27" i="10"/>
  <c r="L26" i="10"/>
  <c r="K26" i="10"/>
  <c r="J26" i="10"/>
  <c r="Q26" i="8"/>
  <c r="O26" i="8"/>
  <c r="N26" i="8"/>
  <c r="M26" i="8"/>
  <c r="L26" i="8"/>
  <c r="K26" i="8"/>
  <c r="J26" i="8"/>
  <c r="I26" i="8"/>
  <c r="H27" i="8"/>
  <c r="T24" i="8"/>
  <c r="U24" i="8" s="1"/>
  <c r="R25" i="8"/>
  <c r="S25" i="8"/>
  <c r="Q26" i="7"/>
  <c r="O26" i="7"/>
  <c r="H27" i="7"/>
  <c r="N26" i="7"/>
  <c r="M26" i="7"/>
  <c r="L26" i="7"/>
  <c r="K26" i="7"/>
  <c r="J26" i="7"/>
  <c r="I26" i="7"/>
  <c r="S25" i="7"/>
  <c r="R25" i="7" s="1"/>
  <c r="T25" i="7" s="1"/>
  <c r="U25" i="7" s="1"/>
  <c r="T24" i="6"/>
  <c r="U24" i="6" s="1"/>
  <c r="S25" i="6"/>
  <c r="R25" i="6"/>
  <c r="T25" i="6" s="1"/>
  <c r="U25" i="6" s="1"/>
  <c r="O26" i="6"/>
  <c r="N26" i="6"/>
  <c r="M26" i="6"/>
  <c r="L26" i="6"/>
  <c r="Q26" i="6"/>
  <c r="K26" i="6"/>
  <c r="J26" i="6"/>
  <c r="I26" i="6"/>
  <c r="H27" i="6"/>
  <c r="S25" i="5"/>
  <c r="R25" i="5" s="1"/>
  <c r="T25" i="5" s="1"/>
  <c r="U25" i="5" s="1"/>
  <c r="O26" i="5"/>
  <c r="N26" i="5"/>
  <c r="M26" i="5"/>
  <c r="L26" i="5"/>
  <c r="K26" i="5"/>
  <c r="J26" i="5"/>
  <c r="Q26" i="5"/>
  <c r="I26" i="5"/>
  <c r="H27" i="5"/>
  <c r="U27" i="4"/>
  <c r="T28" i="4"/>
  <c r="R29" i="4"/>
  <c r="Q30" i="4"/>
  <c r="AD28" i="4"/>
  <c r="AC29" i="4"/>
  <c r="X28" i="4"/>
  <c r="W29" i="4"/>
  <c r="L27" i="4"/>
  <c r="K28" i="4"/>
  <c r="O28" i="4"/>
  <c r="N29" i="4"/>
  <c r="AA29" i="4"/>
  <c r="Z30" i="4"/>
  <c r="S27" i="13" l="1"/>
  <c r="R27" i="13"/>
  <c r="T27" i="13" s="1"/>
  <c r="H29" i="13"/>
  <c r="Q28" i="13"/>
  <c r="O28" i="13"/>
  <c r="N28" i="13"/>
  <c r="M28" i="13"/>
  <c r="L28" i="13"/>
  <c r="K28" i="13"/>
  <c r="J28" i="13"/>
  <c r="I28" i="13"/>
  <c r="S27" i="12"/>
  <c r="R27" i="12" s="1"/>
  <c r="T27" i="12" s="1"/>
  <c r="H29" i="12"/>
  <c r="Q28" i="12"/>
  <c r="M28" i="12"/>
  <c r="O28" i="12"/>
  <c r="N28" i="12"/>
  <c r="L28" i="12"/>
  <c r="K28" i="12"/>
  <c r="J28" i="12"/>
  <c r="I28" i="12"/>
  <c r="Q27" i="11"/>
  <c r="O27" i="11"/>
  <c r="N27" i="11"/>
  <c r="M27" i="11"/>
  <c r="L27" i="11"/>
  <c r="K27" i="11"/>
  <c r="J27" i="11"/>
  <c r="I27" i="11"/>
  <c r="H28" i="11"/>
  <c r="R26" i="11"/>
  <c r="T26" i="11" s="1"/>
  <c r="S26" i="11"/>
  <c r="T25" i="11"/>
  <c r="L27" i="10"/>
  <c r="K27" i="10"/>
  <c r="J27" i="10"/>
  <c r="I27" i="10"/>
  <c r="Q27" i="10"/>
  <c r="O27" i="10"/>
  <c r="N27" i="10"/>
  <c r="M27" i="10"/>
  <c r="H28" i="10"/>
  <c r="S26" i="10"/>
  <c r="R26" i="10" s="1"/>
  <c r="T26" i="10" s="1"/>
  <c r="T25" i="8"/>
  <c r="U25" i="8" s="1"/>
  <c r="M27" i="8"/>
  <c r="Q27" i="8"/>
  <c r="O27" i="8"/>
  <c r="N27" i="8"/>
  <c r="L27" i="8"/>
  <c r="I27" i="8"/>
  <c r="H28" i="8"/>
  <c r="K27" i="8"/>
  <c r="J27" i="8"/>
  <c r="S26" i="8"/>
  <c r="R26" i="8"/>
  <c r="Q27" i="7"/>
  <c r="O27" i="7"/>
  <c r="H28" i="7"/>
  <c r="N27" i="7"/>
  <c r="M27" i="7"/>
  <c r="L27" i="7"/>
  <c r="K27" i="7"/>
  <c r="J27" i="7"/>
  <c r="I27" i="7"/>
  <c r="S26" i="7"/>
  <c r="R26" i="7" s="1"/>
  <c r="T26" i="7" s="1"/>
  <c r="U26" i="7" s="1"/>
  <c r="S26" i="6"/>
  <c r="R26" i="6"/>
  <c r="Q27" i="6"/>
  <c r="H28" i="6"/>
  <c r="O27" i="6"/>
  <c r="I27" i="6"/>
  <c r="N27" i="6"/>
  <c r="M27" i="6"/>
  <c r="L27" i="6"/>
  <c r="K27" i="6"/>
  <c r="J27" i="6"/>
  <c r="S26" i="5"/>
  <c r="R26" i="5" s="1"/>
  <c r="T26" i="5" s="1"/>
  <c r="U26" i="5" s="1"/>
  <c r="H28" i="5"/>
  <c r="Q27" i="5"/>
  <c r="O27" i="5"/>
  <c r="N27" i="5"/>
  <c r="M27" i="5"/>
  <c r="L27" i="5"/>
  <c r="K27" i="5"/>
  <c r="J27" i="5"/>
  <c r="I27" i="5"/>
  <c r="AD29" i="4"/>
  <c r="AC30" i="4"/>
  <c r="O29" i="4"/>
  <c r="N30" i="4"/>
  <c r="X29" i="4"/>
  <c r="W30" i="4"/>
  <c r="AA30" i="4"/>
  <c r="Z31" i="4"/>
  <c r="L28" i="4"/>
  <c r="K29" i="4"/>
  <c r="Q31" i="4"/>
  <c r="R30" i="4"/>
  <c r="U28" i="4"/>
  <c r="T29" i="4"/>
  <c r="S28" i="13" l="1"/>
  <c r="R28" i="13"/>
  <c r="T28" i="13" s="1"/>
  <c r="J29" i="13"/>
  <c r="I29" i="13"/>
  <c r="H30" i="13"/>
  <c r="Q29" i="13"/>
  <c r="O29" i="13"/>
  <c r="N29" i="13"/>
  <c r="M29" i="13"/>
  <c r="L29" i="13"/>
  <c r="K29" i="13"/>
  <c r="S28" i="12"/>
  <c r="R28" i="12" s="1"/>
  <c r="T28" i="12" s="1"/>
  <c r="J29" i="12"/>
  <c r="I29" i="12"/>
  <c r="H30" i="12"/>
  <c r="Q29" i="12"/>
  <c r="O29" i="12"/>
  <c r="N29" i="12"/>
  <c r="M29" i="12"/>
  <c r="L29" i="12"/>
  <c r="K29" i="12"/>
  <c r="H29" i="11"/>
  <c r="Q28" i="11"/>
  <c r="O28" i="11"/>
  <c r="N28" i="11"/>
  <c r="M28" i="11"/>
  <c r="L28" i="11"/>
  <c r="K28" i="11"/>
  <c r="J28" i="11"/>
  <c r="I28" i="11"/>
  <c r="R27" i="11"/>
  <c r="T27" i="11" s="1"/>
  <c r="S27" i="11"/>
  <c r="H29" i="10"/>
  <c r="M28" i="10"/>
  <c r="K28" i="10"/>
  <c r="N28" i="10"/>
  <c r="O28" i="10"/>
  <c r="L28" i="10"/>
  <c r="Q28" i="10"/>
  <c r="J28" i="10"/>
  <c r="I28" i="10"/>
  <c r="S27" i="10"/>
  <c r="R27" i="10" s="1"/>
  <c r="T27" i="10" s="1"/>
  <c r="T26" i="8"/>
  <c r="U26" i="8" s="1"/>
  <c r="H29" i="8"/>
  <c r="J28" i="8"/>
  <c r="Q28" i="8"/>
  <c r="L28" i="8"/>
  <c r="K28" i="8"/>
  <c r="O28" i="8"/>
  <c r="N28" i="8"/>
  <c r="I28" i="8"/>
  <c r="M28" i="8"/>
  <c r="R27" i="8"/>
  <c r="S27" i="8"/>
  <c r="H29" i="7"/>
  <c r="Q28" i="7"/>
  <c r="O28" i="7"/>
  <c r="N28" i="7"/>
  <c r="I28" i="7"/>
  <c r="M28" i="7"/>
  <c r="K28" i="7"/>
  <c r="L28" i="7"/>
  <c r="J28" i="7"/>
  <c r="S27" i="7"/>
  <c r="R27" i="7" s="1"/>
  <c r="T27" i="7" s="1"/>
  <c r="U27" i="7" s="1"/>
  <c r="T26" i="6"/>
  <c r="U26" i="6" s="1"/>
  <c r="S27" i="6"/>
  <c r="R27" i="6"/>
  <c r="H29" i="6"/>
  <c r="L28" i="6"/>
  <c r="Q28" i="6"/>
  <c r="O28" i="6"/>
  <c r="N28" i="6"/>
  <c r="M28" i="6"/>
  <c r="K28" i="6"/>
  <c r="J28" i="6"/>
  <c r="I28" i="6"/>
  <c r="S27" i="5"/>
  <c r="R27" i="5" s="1"/>
  <c r="T27" i="5" s="1"/>
  <c r="U27" i="5" s="1"/>
  <c r="I28" i="5"/>
  <c r="M28" i="5"/>
  <c r="H29" i="5"/>
  <c r="K28" i="5"/>
  <c r="J28" i="5"/>
  <c r="L28" i="5"/>
  <c r="Q28" i="5"/>
  <c r="O28" i="5"/>
  <c r="N28" i="5"/>
  <c r="Q32" i="4"/>
  <c r="R31" i="4"/>
  <c r="X30" i="4"/>
  <c r="W31" i="4"/>
  <c r="K30" i="4"/>
  <c r="L29" i="4"/>
  <c r="T30" i="4"/>
  <c r="U29" i="4"/>
  <c r="Z32" i="4"/>
  <c r="AA31" i="4"/>
  <c r="N31" i="4"/>
  <c r="O30" i="4"/>
  <c r="AD30" i="4"/>
  <c r="AC31" i="4"/>
  <c r="S29" i="13" l="1"/>
  <c r="R29" i="13"/>
  <c r="M30" i="13"/>
  <c r="L30" i="13"/>
  <c r="K30" i="13"/>
  <c r="J30" i="13"/>
  <c r="I30" i="13"/>
  <c r="N30" i="13"/>
  <c r="H31" i="13"/>
  <c r="Q30" i="13"/>
  <c r="O30" i="13"/>
  <c r="M30" i="12"/>
  <c r="L30" i="12"/>
  <c r="K30" i="12"/>
  <c r="J30" i="12"/>
  <c r="I30" i="12"/>
  <c r="N30" i="12"/>
  <c r="H31" i="12"/>
  <c r="Q30" i="12"/>
  <c r="O30" i="12"/>
  <c r="S29" i="12"/>
  <c r="R29" i="12" s="1"/>
  <c r="T29" i="12" s="1"/>
  <c r="R28" i="11"/>
  <c r="T28" i="11" s="1"/>
  <c r="S28" i="11"/>
  <c r="I29" i="11"/>
  <c r="J29" i="11"/>
  <c r="H30" i="11"/>
  <c r="Q29" i="11"/>
  <c r="O29" i="11"/>
  <c r="N29" i="11"/>
  <c r="M29" i="11"/>
  <c r="L29" i="11"/>
  <c r="K29" i="11"/>
  <c r="S28" i="10"/>
  <c r="R28" i="10" s="1"/>
  <c r="T28" i="10" s="1"/>
  <c r="I29" i="10"/>
  <c r="O29" i="10"/>
  <c r="N29" i="10"/>
  <c r="Q29" i="10"/>
  <c r="H30" i="10"/>
  <c r="M29" i="10"/>
  <c r="L29" i="10"/>
  <c r="K29" i="10"/>
  <c r="J29" i="10"/>
  <c r="R28" i="8"/>
  <c r="S28" i="8"/>
  <c r="T27" i="8"/>
  <c r="U27" i="8" s="1"/>
  <c r="I29" i="8"/>
  <c r="J29" i="8"/>
  <c r="H30" i="8"/>
  <c r="N29" i="8"/>
  <c r="M29" i="8"/>
  <c r="L29" i="8"/>
  <c r="O29" i="8"/>
  <c r="Q29" i="8"/>
  <c r="K29" i="8"/>
  <c r="S28" i="7"/>
  <c r="R28" i="7" s="1"/>
  <c r="T28" i="7" s="1"/>
  <c r="U28" i="7" s="1"/>
  <c r="I29" i="7"/>
  <c r="H30" i="7"/>
  <c r="N29" i="7"/>
  <c r="Q29" i="7"/>
  <c r="L29" i="7"/>
  <c r="O29" i="7"/>
  <c r="M29" i="7"/>
  <c r="K29" i="7"/>
  <c r="J29" i="7"/>
  <c r="T27" i="6"/>
  <c r="U27" i="6" s="1"/>
  <c r="R28" i="6"/>
  <c r="S28" i="6"/>
  <c r="O29" i="6"/>
  <c r="I29" i="6"/>
  <c r="H30" i="6"/>
  <c r="J29" i="6"/>
  <c r="K29" i="6"/>
  <c r="Q29" i="6"/>
  <c r="N29" i="6"/>
  <c r="M29" i="6"/>
  <c r="L29" i="6"/>
  <c r="S28" i="5"/>
  <c r="R28" i="5" s="1"/>
  <c r="T28" i="5" s="1"/>
  <c r="U28" i="5" s="1"/>
  <c r="N29" i="5"/>
  <c r="M29" i="5"/>
  <c r="L29" i="5"/>
  <c r="K29" i="5"/>
  <c r="J29" i="5"/>
  <c r="I29" i="5"/>
  <c r="Q29" i="5"/>
  <c r="O29" i="5"/>
  <c r="H30" i="5"/>
  <c r="O31" i="4"/>
  <c r="N32" i="4"/>
  <c r="AA32" i="4"/>
  <c r="Z33" i="4"/>
  <c r="L30" i="4"/>
  <c r="K31" i="4"/>
  <c r="AD31" i="4"/>
  <c r="AC32" i="4"/>
  <c r="U30" i="4"/>
  <c r="T31" i="4"/>
  <c r="X31" i="4"/>
  <c r="W32" i="4"/>
  <c r="R32" i="4"/>
  <c r="Q33" i="4"/>
  <c r="R30" i="13" l="1"/>
  <c r="T30" i="13" s="1"/>
  <c r="S30" i="13"/>
  <c r="Q31" i="13"/>
  <c r="O31" i="13"/>
  <c r="N31" i="13"/>
  <c r="M31" i="13"/>
  <c r="L31" i="13"/>
  <c r="K31" i="13"/>
  <c r="J31" i="13"/>
  <c r="I31" i="13"/>
  <c r="H32" i="13"/>
  <c r="T29" i="13"/>
  <c r="S30" i="12"/>
  <c r="R30" i="12" s="1"/>
  <c r="T30" i="12" s="1"/>
  <c r="Q31" i="12"/>
  <c r="O31" i="12"/>
  <c r="N31" i="12"/>
  <c r="M31" i="12"/>
  <c r="I31" i="12"/>
  <c r="L31" i="12"/>
  <c r="K31" i="12"/>
  <c r="J31" i="12"/>
  <c r="H32" i="12"/>
  <c r="R29" i="11"/>
  <c r="S29" i="11"/>
  <c r="L30" i="11"/>
  <c r="K30" i="11"/>
  <c r="J30" i="11"/>
  <c r="I30" i="11"/>
  <c r="M30" i="11"/>
  <c r="H31" i="11"/>
  <c r="Q30" i="11"/>
  <c r="O30" i="11"/>
  <c r="N30" i="11"/>
  <c r="S29" i="10"/>
  <c r="R29" i="10" s="1"/>
  <c r="T29" i="10" s="1"/>
  <c r="L30" i="10"/>
  <c r="K30" i="10"/>
  <c r="J30" i="10"/>
  <c r="I30" i="10"/>
  <c r="H31" i="10"/>
  <c r="Q30" i="10"/>
  <c r="M30" i="10"/>
  <c r="O30" i="10"/>
  <c r="N30" i="10"/>
  <c r="R29" i="8"/>
  <c r="S29" i="8"/>
  <c r="L30" i="8"/>
  <c r="O30" i="8"/>
  <c r="K30" i="8"/>
  <c r="J30" i="8"/>
  <c r="Q30" i="8"/>
  <c r="I30" i="8"/>
  <c r="N30" i="8"/>
  <c r="H31" i="8"/>
  <c r="M30" i="8"/>
  <c r="T28" i="8"/>
  <c r="U28" i="8" s="1"/>
  <c r="S29" i="7"/>
  <c r="R29" i="7" s="1"/>
  <c r="T29" i="7" s="1"/>
  <c r="U29" i="7" s="1"/>
  <c r="L30" i="7"/>
  <c r="K30" i="7"/>
  <c r="J30" i="7"/>
  <c r="I30" i="7"/>
  <c r="O30" i="7"/>
  <c r="H31" i="7"/>
  <c r="M30" i="7"/>
  <c r="N30" i="7"/>
  <c r="Q30" i="7"/>
  <c r="T28" i="6"/>
  <c r="U28" i="6" s="1"/>
  <c r="S29" i="6"/>
  <c r="R29" i="6"/>
  <c r="K30" i="6"/>
  <c r="J30" i="6"/>
  <c r="I30" i="6"/>
  <c r="M30" i="6"/>
  <c r="L30" i="6"/>
  <c r="H31" i="6"/>
  <c r="N30" i="6"/>
  <c r="Q30" i="6"/>
  <c r="O30" i="6"/>
  <c r="S29" i="5"/>
  <c r="R29" i="5" s="1"/>
  <c r="T29" i="5" s="1"/>
  <c r="U29" i="5" s="1"/>
  <c r="H31" i="5"/>
  <c r="Q30" i="5"/>
  <c r="O30" i="5"/>
  <c r="N30" i="5"/>
  <c r="M30" i="5"/>
  <c r="L30" i="5"/>
  <c r="K30" i="5"/>
  <c r="J30" i="5"/>
  <c r="I30" i="5"/>
  <c r="W33" i="4"/>
  <c r="X32" i="4"/>
  <c r="U31" i="4"/>
  <c r="T32" i="4"/>
  <c r="L31" i="4"/>
  <c r="K32" i="4"/>
  <c r="R33" i="4"/>
  <c r="Q34" i="4"/>
  <c r="AD32" i="4"/>
  <c r="AC33" i="4"/>
  <c r="Z34" i="4"/>
  <c r="AA33" i="4"/>
  <c r="O32" i="4"/>
  <c r="N33" i="4"/>
  <c r="Q32" i="13" l="1"/>
  <c r="O32" i="13"/>
  <c r="N32" i="13"/>
  <c r="M32" i="13"/>
  <c r="L32" i="13"/>
  <c r="K32" i="13"/>
  <c r="J32" i="13"/>
  <c r="I32" i="13"/>
  <c r="H33" i="13"/>
  <c r="R31" i="13"/>
  <c r="S31" i="13"/>
  <c r="Q32" i="12"/>
  <c r="O32" i="12"/>
  <c r="N32" i="12"/>
  <c r="M32" i="12"/>
  <c r="L32" i="12"/>
  <c r="K32" i="12"/>
  <c r="J32" i="12"/>
  <c r="I32" i="12"/>
  <c r="H33" i="12"/>
  <c r="S31" i="12"/>
  <c r="R31" i="12" s="1"/>
  <c r="T31" i="12" s="1"/>
  <c r="R30" i="11"/>
  <c r="S30" i="11"/>
  <c r="O31" i="11"/>
  <c r="N31" i="11"/>
  <c r="M31" i="11"/>
  <c r="L31" i="11"/>
  <c r="K31" i="11"/>
  <c r="Q31" i="11"/>
  <c r="J31" i="11"/>
  <c r="I31" i="11"/>
  <c r="H32" i="11"/>
  <c r="T29" i="11"/>
  <c r="O31" i="10"/>
  <c r="N31" i="10"/>
  <c r="M31" i="10"/>
  <c r="L31" i="10"/>
  <c r="H32" i="10"/>
  <c r="K31" i="10"/>
  <c r="J31" i="10"/>
  <c r="I31" i="10"/>
  <c r="Q31" i="10"/>
  <c r="S30" i="10"/>
  <c r="R30" i="10" s="1"/>
  <c r="T30" i="10" s="1"/>
  <c r="O31" i="8"/>
  <c r="N31" i="8"/>
  <c r="M31" i="8"/>
  <c r="H32" i="8"/>
  <c r="L31" i="8"/>
  <c r="K31" i="8"/>
  <c r="Q31" i="8"/>
  <c r="J31" i="8"/>
  <c r="I31" i="8"/>
  <c r="S30" i="8"/>
  <c r="R30" i="8"/>
  <c r="T30" i="8" s="1"/>
  <c r="U30" i="8" s="1"/>
  <c r="T29" i="8"/>
  <c r="U29" i="8" s="1"/>
  <c r="O31" i="7"/>
  <c r="N31" i="7"/>
  <c r="M31" i="7"/>
  <c r="L31" i="7"/>
  <c r="K31" i="7"/>
  <c r="J31" i="7"/>
  <c r="I31" i="7"/>
  <c r="Q31" i="7"/>
  <c r="H32" i="7"/>
  <c r="S30" i="7"/>
  <c r="R30" i="7" s="1"/>
  <c r="T30" i="7" s="1"/>
  <c r="U30" i="7" s="1"/>
  <c r="T29" i="6"/>
  <c r="U29" i="6" s="1"/>
  <c r="S30" i="6"/>
  <c r="R30" i="6"/>
  <c r="N31" i="6"/>
  <c r="O31" i="6"/>
  <c r="M31" i="6"/>
  <c r="H32" i="6"/>
  <c r="L31" i="6"/>
  <c r="K31" i="6"/>
  <c r="J31" i="6"/>
  <c r="I31" i="6"/>
  <c r="Q31" i="6"/>
  <c r="T30" i="6"/>
  <c r="U30" i="6" s="1"/>
  <c r="S30" i="5"/>
  <c r="R30" i="5" s="1"/>
  <c r="T30" i="5" s="1"/>
  <c r="U30" i="5" s="1"/>
  <c r="K31" i="5"/>
  <c r="H32" i="5"/>
  <c r="Q31" i="5"/>
  <c r="L31" i="5"/>
  <c r="O31" i="5"/>
  <c r="N31" i="5"/>
  <c r="I31" i="5"/>
  <c r="M31" i="5"/>
  <c r="J31" i="5"/>
  <c r="AD33" i="4"/>
  <c r="AC34" i="4"/>
  <c r="L32" i="4"/>
  <c r="K33" i="4"/>
  <c r="Z35" i="4"/>
  <c r="AA34" i="4"/>
  <c r="O33" i="4"/>
  <c r="N34" i="4"/>
  <c r="R34" i="4"/>
  <c r="Q35" i="4"/>
  <c r="T33" i="4"/>
  <c r="U32" i="4"/>
  <c r="W34" i="4"/>
  <c r="X33" i="4"/>
  <c r="T31" i="13" l="1"/>
  <c r="Q33" i="13"/>
  <c r="O33" i="13"/>
  <c r="N33" i="13"/>
  <c r="M33" i="13"/>
  <c r="L33" i="13"/>
  <c r="K33" i="13"/>
  <c r="J33" i="13"/>
  <c r="I33" i="13"/>
  <c r="R32" i="13"/>
  <c r="T32" i="13" s="1"/>
  <c r="S32" i="13"/>
  <c r="O33" i="12"/>
  <c r="Q33" i="12"/>
  <c r="N33" i="12"/>
  <c r="M33" i="12"/>
  <c r="L33" i="12"/>
  <c r="K33" i="12"/>
  <c r="J33" i="12"/>
  <c r="I33" i="12"/>
  <c r="S32" i="12"/>
  <c r="R32" i="12" s="1"/>
  <c r="T32" i="12" s="1"/>
  <c r="S31" i="11"/>
  <c r="R31" i="11"/>
  <c r="T31" i="11" s="1"/>
  <c r="Q32" i="11"/>
  <c r="O32" i="11"/>
  <c r="N32" i="11"/>
  <c r="M32" i="11"/>
  <c r="L32" i="11"/>
  <c r="K32" i="11"/>
  <c r="J32" i="11"/>
  <c r="I32" i="11"/>
  <c r="H33" i="11"/>
  <c r="T30" i="11"/>
  <c r="S31" i="10"/>
  <c r="R31" i="10" s="1"/>
  <c r="T31" i="10" s="1"/>
  <c r="I32" i="10"/>
  <c r="J32" i="10"/>
  <c r="Q32" i="10"/>
  <c r="O32" i="10"/>
  <c r="N32" i="10"/>
  <c r="K32" i="10"/>
  <c r="M32" i="10"/>
  <c r="L32" i="10"/>
  <c r="H33" i="10"/>
  <c r="Q32" i="8"/>
  <c r="H33" i="8"/>
  <c r="O32" i="8"/>
  <c r="N32" i="8"/>
  <c r="M32" i="8"/>
  <c r="L32" i="8"/>
  <c r="K32" i="8"/>
  <c r="J32" i="8"/>
  <c r="I32" i="8"/>
  <c r="S31" i="8"/>
  <c r="R31" i="8"/>
  <c r="T31" i="8" s="1"/>
  <c r="U31" i="8" s="1"/>
  <c r="H33" i="7"/>
  <c r="Q32" i="7"/>
  <c r="O32" i="7"/>
  <c r="N32" i="7"/>
  <c r="M32" i="7"/>
  <c r="L32" i="7"/>
  <c r="K32" i="7"/>
  <c r="J32" i="7"/>
  <c r="I32" i="7"/>
  <c r="S31" i="7"/>
  <c r="R31" i="7" s="1"/>
  <c r="T31" i="7" s="1"/>
  <c r="U31" i="7" s="1"/>
  <c r="S31" i="6"/>
  <c r="R31" i="6"/>
  <c r="T31" i="6" s="1"/>
  <c r="U31" i="6" s="1"/>
  <c r="Q32" i="6"/>
  <c r="O32" i="6"/>
  <c r="N32" i="6"/>
  <c r="M32" i="6"/>
  <c r="L32" i="6"/>
  <c r="K32" i="6"/>
  <c r="J32" i="6"/>
  <c r="I32" i="6"/>
  <c r="H33" i="6"/>
  <c r="S31" i="5"/>
  <c r="R31" i="5" s="1"/>
  <c r="T31" i="5" s="1"/>
  <c r="U31" i="5" s="1"/>
  <c r="M32" i="5"/>
  <c r="L32" i="5"/>
  <c r="K32" i="5"/>
  <c r="J32" i="5"/>
  <c r="I32" i="5"/>
  <c r="H33" i="5"/>
  <c r="O32" i="5"/>
  <c r="Q32" i="5"/>
  <c r="N32" i="5"/>
  <c r="X34" i="4"/>
  <c r="W35" i="4"/>
  <c r="O34" i="4"/>
  <c r="N35" i="4"/>
  <c r="U33" i="4"/>
  <c r="T34" i="4"/>
  <c r="AA35" i="4"/>
  <c r="Z36" i="4"/>
  <c r="AA36" i="4" s="1"/>
  <c r="R35" i="4"/>
  <c r="Q36" i="4"/>
  <c r="R36" i="4" s="1"/>
  <c r="AD34" i="4"/>
  <c r="AC35" i="4"/>
  <c r="L33" i="4"/>
  <c r="K34" i="4"/>
  <c r="R33" i="13" l="1"/>
  <c r="T33" i="13" s="1"/>
  <c r="I37" i="13" s="1"/>
  <c r="S33" i="13"/>
  <c r="S33" i="12"/>
  <c r="R33" i="12" s="1"/>
  <c r="T33" i="12" s="1"/>
  <c r="M37" i="12" s="1"/>
  <c r="L37" i="12"/>
  <c r="O37" i="12"/>
  <c r="Q33" i="11"/>
  <c r="O33" i="11"/>
  <c r="N33" i="11"/>
  <c r="M33" i="11"/>
  <c r="L33" i="11"/>
  <c r="K33" i="11"/>
  <c r="J33" i="11"/>
  <c r="I33" i="11"/>
  <c r="S32" i="11"/>
  <c r="R32" i="11"/>
  <c r="T32" i="11" s="1"/>
  <c r="S32" i="10"/>
  <c r="R32" i="10" s="1"/>
  <c r="T32" i="10" s="1"/>
  <c r="M33" i="10"/>
  <c r="L33" i="10"/>
  <c r="K33" i="10"/>
  <c r="Q33" i="10"/>
  <c r="O33" i="10"/>
  <c r="N33" i="10"/>
  <c r="J33" i="10"/>
  <c r="I33" i="10"/>
  <c r="K33" i="8"/>
  <c r="I33" i="8"/>
  <c r="J33" i="8"/>
  <c r="Q33" i="8"/>
  <c r="O33" i="8"/>
  <c r="N33" i="8"/>
  <c r="M33" i="8"/>
  <c r="L33" i="8"/>
  <c r="S32" i="8"/>
  <c r="R32" i="8"/>
  <c r="S32" i="7"/>
  <c r="R32" i="7" s="1"/>
  <c r="T32" i="7" s="1"/>
  <c r="U32" i="7" s="1"/>
  <c r="Q33" i="7"/>
  <c r="O33" i="7"/>
  <c r="N33" i="7"/>
  <c r="M33" i="7"/>
  <c r="J33" i="7"/>
  <c r="L33" i="7"/>
  <c r="K33" i="7"/>
  <c r="I33" i="7"/>
  <c r="R32" i="6"/>
  <c r="S32" i="6"/>
  <c r="Q33" i="6"/>
  <c r="O33" i="6"/>
  <c r="K33" i="6"/>
  <c r="N33" i="6"/>
  <c r="M33" i="6"/>
  <c r="L33" i="6"/>
  <c r="J33" i="6"/>
  <c r="I33" i="6"/>
  <c r="S32" i="5"/>
  <c r="R32" i="5" s="1"/>
  <c r="T32" i="5" s="1"/>
  <c r="U32" i="5" s="1"/>
  <c r="Q33" i="5"/>
  <c r="O33" i="5"/>
  <c r="N33" i="5"/>
  <c r="M33" i="5"/>
  <c r="L33" i="5"/>
  <c r="K33" i="5"/>
  <c r="J33" i="5"/>
  <c r="I33" i="5"/>
  <c r="K35" i="4"/>
  <c r="L34" i="4"/>
  <c r="AC36" i="4"/>
  <c r="AD36" i="4" s="1"/>
  <c r="AD35" i="4"/>
  <c r="U34" i="4"/>
  <c r="T35" i="4"/>
  <c r="X35" i="4"/>
  <c r="W36" i="4"/>
  <c r="X36" i="4" s="1"/>
  <c r="O35" i="4"/>
  <c r="N36" i="4"/>
  <c r="O36" i="4" s="1"/>
  <c r="U39" i="13" l="1"/>
  <c r="O37" i="13"/>
  <c r="N37" i="13"/>
  <c r="M37" i="13"/>
  <c r="L37" i="13"/>
  <c r="K37" i="13"/>
  <c r="J37" i="13"/>
  <c r="I39" i="13" s="1"/>
  <c r="J37" i="12"/>
  <c r="K37" i="12"/>
  <c r="U39" i="12"/>
  <c r="N37" i="12"/>
  <c r="I37" i="12"/>
  <c r="I39" i="12" s="1"/>
  <c r="R33" i="11"/>
  <c r="S33" i="11"/>
  <c r="S33" i="10"/>
  <c r="R33" i="10" s="1"/>
  <c r="T33" i="10" s="1"/>
  <c r="O37" i="10" s="1"/>
  <c r="M37" i="10"/>
  <c r="J37" i="10"/>
  <c r="L37" i="10"/>
  <c r="I37" i="10"/>
  <c r="K37" i="10"/>
  <c r="T32" i="8"/>
  <c r="U32" i="8" s="1"/>
  <c r="S33" i="8"/>
  <c r="R33" i="8"/>
  <c r="T33" i="8" s="1"/>
  <c r="N36" i="8" s="1"/>
  <c r="N37" i="8" s="1"/>
  <c r="S33" i="7"/>
  <c r="R33" i="7" s="1"/>
  <c r="T33" i="7" s="1"/>
  <c r="K36" i="7" s="1"/>
  <c r="K37" i="7" s="1"/>
  <c r="T32" i="6"/>
  <c r="U32" i="6" s="1"/>
  <c r="S33" i="6"/>
  <c r="R33" i="6"/>
  <c r="T33" i="6" s="1"/>
  <c r="J36" i="6" s="1"/>
  <c r="J37" i="6" s="1"/>
  <c r="S33" i="5"/>
  <c r="R33" i="5" s="1"/>
  <c r="T33" i="5" s="1"/>
  <c r="J36" i="5" s="1"/>
  <c r="J37" i="5" s="1"/>
  <c r="U35" i="4"/>
  <c r="T36" i="4"/>
  <c r="U36" i="4" s="1"/>
  <c r="L35" i="4"/>
  <c r="K36" i="4"/>
  <c r="L36" i="4" s="1"/>
  <c r="T29" i="9" l="1"/>
  <c r="T33" i="11"/>
  <c r="N37" i="10"/>
  <c r="I39" i="10" s="1"/>
  <c r="I36" i="8"/>
  <c r="I37" i="8" s="1"/>
  <c r="J36" i="8"/>
  <c r="J37" i="8" s="1"/>
  <c r="U33" i="8"/>
  <c r="M36" i="8"/>
  <c r="M37" i="8" s="1"/>
  <c r="O36" i="8"/>
  <c r="O37" i="8" s="1"/>
  <c r="K36" i="8"/>
  <c r="K37" i="8" s="1"/>
  <c r="L36" i="8"/>
  <c r="L37" i="8" s="1"/>
  <c r="N36" i="7"/>
  <c r="N37" i="7" s="1"/>
  <c r="I36" i="7"/>
  <c r="I37" i="7" s="1"/>
  <c r="M36" i="7"/>
  <c r="M37" i="7" s="1"/>
  <c r="J36" i="7"/>
  <c r="J37" i="7" s="1"/>
  <c r="U33" i="7"/>
  <c r="O36" i="7"/>
  <c r="O37" i="7" s="1"/>
  <c r="L36" i="7"/>
  <c r="L37" i="7" s="1"/>
  <c r="N36" i="6"/>
  <c r="N37" i="6" s="1"/>
  <c r="O36" i="6"/>
  <c r="O37" i="6" s="1"/>
  <c r="K36" i="6"/>
  <c r="K37" i="6" s="1"/>
  <c r="L36" i="6"/>
  <c r="L37" i="6" s="1"/>
  <c r="I36" i="6"/>
  <c r="I37" i="6" s="1"/>
  <c r="U33" i="6"/>
  <c r="M36" i="6"/>
  <c r="M37" i="6" s="1"/>
  <c r="O36" i="5"/>
  <c r="O37" i="5" s="1"/>
  <c r="N36" i="5"/>
  <c r="N37" i="5" s="1"/>
  <c r="L36" i="5"/>
  <c r="L37" i="5" s="1"/>
  <c r="K36" i="5"/>
  <c r="K37" i="5" s="1"/>
  <c r="I36" i="5"/>
  <c r="I37" i="5" s="1"/>
  <c r="U33" i="5"/>
  <c r="M36" i="5"/>
  <c r="M37" i="5" s="1"/>
  <c r="U29" i="9" l="1"/>
  <c r="L37" i="11"/>
  <c r="N37" i="11"/>
  <c r="M37" i="11"/>
  <c r="I37" i="11"/>
  <c r="J37" i="11"/>
  <c r="K37" i="11"/>
  <c r="O37" i="11"/>
  <c r="I39" i="8"/>
  <c r="I39" i="7"/>
  <c r="I39" i="6"/>
  <c r="I39" i="5"/>
  <c r="I39" i="11" l="1"/>
  <c r="K7" i="2"/>
  <c r="E7" i="3"/>
  <c r="F7" i="3" s="1"/>
  <c r="K8" i="2" l="1"/>
  <c r="L7" i="2"/>
  <c r="E4" i="3"/>
  <c r="F4" i="3" s="1"/>
  <c r="I4" i="3"/>
  <c r="E6" i="3"/>
  <c r="F6" i="3" s="1"/>
  <c r="H5" i="3"/>
  <c r="E10" i="3"/>
  <c r="F10" i="3" s="1"/>
  <c r="Q4" i="3"/>
  <c r="R4" i="3" s="1"/>
  <c r="S4" i="3" s="1"/>
  <c r="J4" i="3"/>
  <c r="E9" i="3"/>
  <c r="F9" i="3" s="1"/>
  <c r="N4" i="3"/>
  <c r="E8" i="3"/>
  <c r="F8" i="3" s="1"/>
  <c r="O4" i="3"/>
  <c r="M4" i="3"/>
  <c r="L4" i="3"/>
  <c r="K4" i="3"/>
  <c r="E5" i="3"/>
  <c r="F5" i="3" s="1"/>
  <c r="Q5" i="3" l="1"/>
  <c r="R5" i="3" s="1"/>
  <c r="S5" i="3" s="1"/>
  <c r="K9" i="2"/>
  <c r="L8" i="2"/>
  <c r="H6" i="3"/>
  <c r="I5" i="3"/>
  <c r="J5" i="3"/>
  <c r="N5" i="3"/>
  <c r="L5" i="3"/>
  <c r="M5" i="3"/>
  <c r="O5" i="3"/>
  <c r="K5" i="3"/>
  <c r="I35" i="3" a="1"/>
  <c r="I35" i="3" l="1"/>
  <c r="O6" i="3"/>
  <c r="K10" i="2"/>
  <c r="L9" i="2"/>
  <c r="N6" i="3"/>
  <c r="Q6" i="3"/>
  <c r="R6" i="3" s="1"/>
  <c r="S6" i="3" s="1"/>
  <c r="M6" i="3"/>
  <c r="L6" i="3"/>
  <c r="J6" i="3"/>
  <c r="K6" i="3"/>
  <c r="I6" i="3"/>
  <c r="H7" i="3"/>
  <c r="K11" i="2" l="1"/>
  <c r="L10" i="2"/>
  <c r="K7" i="3"/>
  <c r="J7" i="3"/>
  <c r="L7" i="3"/>
  <c r="H8" i="3"/>
  <c r="N8" i="3" s="1"/>
  <c r="M7" i="3"/>
  <c r="N7" i="3"/>
  <c r="I7" i="3"/>
  <c r="O7" i="3"/>
  <c r="Q7" i="3"/>
  <c r="R7" i="3" s="1"/>
  <c r="S7" i="3" s="1"/>
  <c r="I8" i="3" l="1"/>
  <c r="L8" i="3"/>
  <c r="O8" i="3"/>
  <c r="Q8" i="3"/>
  <c r="R8" i="3" s="1"/>
  <c r="S8" i="3" s="1"/>
  <c r="K12" i="2"/>
  <c r="L11" i="2"/>
  <c r="M8" i="3"/>
  <c r="J8" i="3"/>
  <c r="H9" i="3"/>
  <c r="K8" i="3"/>
  <c r="H10" i="3" l="1"/>
  <c r="K10" i="3" s="1"/>
  <c r="K13" i="2"/>
  <c r="L12" i="2"/>
  <c r="N9" i="3"/>
  <c r="I9" i="3"/>
  <c r="J9" i="3"/>
  <c r="M9" i="3"/>
  <c r="K9" i="3"/>
  <c r="L9" i="3"/>
  <c r="O9" i="3"/>
  <c r="Q9" i="3"/>
  <c r="R9" i="3" s="1"/>
  <c r="S9" i="3" s="1"/>
  <c r="H11" i="3"/>
  <c r="Q10" i="3"/>
  <c r="R10" i="3" s="1"/>
  <c r="S10" i="3" s="1"/>
  <c r="O10" i="3"/>
  <c r="N10" i="3"/>
  <c r="M10" i="3"/>
  <c r="L10" i="3"/>
  <c r="I10" i="3"/>
  <c r="J10" i="3" l="1"/>
  <c r="K14" i="2"/>
  <c r="L13" i="2"/>
  <c r="Q11" i="3"/>
  <c r="R11" i="3" s="1"/>
  <c r="S11" i="3" s="1"/>
  <c r="H12" i="3"/>
  <c r="O11" i="3"/>
  <c r="N11" i="3"/>
  <c r="M11" i="3"/>
  <c r="L11" i="3"/>
  <c r="K11" i="3"/>
  <c r="J11" i="3"/>
  <c r="I11" i="3"/>
  <c r="K15" i="2" l="1"/>
  <c r="L14" i="2"/>
  <c r="I12" i="3"/>
  <c r="Q12" i="3"/>
  <c r="R12" i="3" s="1"/>
  <c r="S12" i="3" s="1"/>
  <c r="H13" i="3"/>
  <c r="N12" i="3"/>
  <c r="O12" i="3"/>
  <c r="K12" i="3"/>
  <c r="M12" i="3"/>
  <c r="L12" i="3"/>
  <c r="J12" i="3"/>
  <c r="K16" i="2" l="1"/>
  <c r="L15" i="2"/>
  <c r="L13" i="3"/>
  <c r="K13" i="3"/>
  <c r="J13" i="3"/>
  <c r="I13" i="3"/>
  <c r="H14" i="3"/>
  <c r="M13" i="3"/>
  <c r="O13" i="3"/>
  <c r="N13" i="3"/>
  <c r="Q13" i="3"/>
  <c r="R13" i="3" s="1"/>
  <c r="S13" i="3" s="1"/>
  <c r="K17" i="2" l="1"/>
  <c r="L16" i="2"/>
  <c r="O14" i="3"/>
  <c r="N14" i="3"/>
  <c r="J14" i="3"/>
  <c r="I14" i="3"/>
  <c r="M14" i="3"/>
  <c r="L14" i="3"/>
  <c r="K14" i="3"/>
  <c r="Q14" i="3"/>
  <c r="R14" i="3" s="1"/>
  <c r="S14" i="3" s="1"/>
  <c r="H15" i="3"/>
  <c r="K18" i="2" l="1"/>
  <c r="L17" i="2"/>
  <c r="Q15" i="3"/>
  <c r="R15" i="3" s="1"/>
  <c r="S15" i="3" s="1"/>
  <c r="L15" i="3"/>
  <c r="J15" i="3"/>
  <c r="N15" i="3"/>
  <c r="K15" i="3"/>
  <c r="O15" i="3"/>
  <c r="M15" i="3"/>
  <c r="H16" i="3"/>
  <c r="I15" i="3"/>
  <c r="K19" i="2" l="1"/>
  <c r="L18" i="2"/>
  <c r="H17" i="3"/>
  <c r="N16" i="3"/>
  <c r="Q16" i="3"/>
  <c r="R16" i="3" s="1"/>
  <c r="S16" i="3" s="1"/>
  <c r="O16" i="3"/>
  <c r="M16" i="3"/>
  <c r="L16" i="3"/>
  <c r="I16" i="3"/>
  <c r="K16" i="3"/>
  <c r="J16" i="3"/>
  <c r="K20" i="2" l="1"/>
  <c r="L19" i="2"/>
  <c r="O17" i="3"/>
  <c r="Q17" i="3"/>
  <c r="R17" i="3" s="1"/>
  <c r="S17" i="3" s="1"/>
  <c r="H18" i="3"/>
  <c r="N17" i="3"/>
  <c r="M17" i="3"/>
  <c r="L17" i="3"/>
  <c r="K17" i="3"/>
  <c r="J17" i="3"/>
  <c r="I17" i="3"/>
  <c r="K21" i="2" l="1"/>
  <c r="L20" i="2"/>
  <c r="K18" i="3"/>
  <c r="H19" i="3"/>
  <c r="J18" i="3"/>
  <c r="Q18" i="3"/>
  <c r="R18" i="3" s="1"/>
  <c r="S18" i="3" s="1"/>
  <c r="I18" i="3"/>
  <c r="L18" i="3"/>
  <c r="M18" i="3"/>
  <c r="O18" i="3"/>
  <c r="N18" i="3"/>
  <c r="K22" i="2" l="1"/>
  <c r="L21" i="2"/>
  <c r="N19" i="3"/>
  <c r="M19" i="3"/>
  <c r="J19" i="3"/>
  <c r="I19" i="3"/>
  <c r="L19" i="3"/>
  <c r="K19" i="3"/>
  <c r="H20" i="3"/>
  <c r="Q19" i="3"/>
  <c r="R19" i="3" s="1"/>
  <c r="S19" i="3" s="1"/>
  <c r="O19" i="3"/>
  <c r="K23" i="2" l="1"/>
  <c r="L22" i="2"/>
  <c r="J20" i="3"/>
  <c r="O20" i="3"/>
  <c r="N20" i="3"/>
  <c r="M20" i="3"/>
  <c r="L20" i="3"/>
  <c r="K20" i="3"/>
  <c r="I20" i="3"/>
  <c r="H21" i="3"/>
  <c r="Q20" i="3"/>
  <c r="R20" i="3" s="1"/>
  <c r="S20" i="3" s="1"/>
  <c r="K24" i="2" l="1"/>
  <c r="L23" i="2"/>
  <c r="M21" i="3"/>
  <c r="O21" i="3"/>
  <c r="N21" i="3"/>
  <c r="Q21" i="3"/>
  <c r="R21" i="3" s="1"/>
  <c r="S21" i="3" s="1"/>
  <c r="L21" i="3"/>
  <c r="K21" i="3"/>
  <c r="J21" i="3"/>
  <c r="H22" i="3"/>
  <c r="I21" i="3"/>
  <c r="K25" i="2" l="1"/>
  <c r="L24" i="2"/>
  <c r="O22" i="3"/>
  <c r="N22" i="3"/>
  <c r="H23" i="3"/>
  <c r="Q22" i="3"/>
  <c r="R22" i="3" s="1"/>
  <c r="S22" i="3" s="1"/>
  <c r="M22" i="3"/>
  <c r="K22" i="3"/>
  <c r="J22" i="3"/>
  <c r="L22" i="3"/>
  <c r="I22" i="3"/>
  <c r="K26" i="2" l="1"/>
  <c r="L25" i="2"/>
  <c r="J23" i="3"/>
  <c r="I23" i="3"/>
  <c r="H24" i="3"/>
  <c r="Q23" i="3"/>
  <c r="R23" i="3" s="1"/>
  <c r="S23" i="3" s="1"/>
  <c r="K23" i="3"/>
  <c r="L23" i="3"/>
  <c r="O23" i="3"/>
  <c r="M23" i="3"/>
  <c r="N23" i="3"/>
  <c r="K27" i="2" l="1"/>
  <c r="L26" i="2"/>
  <c r="M24" i="3"/>
  <c r="L24" i="3"/>
  <c r="K24" i="3"/>
  <c r="J24" i="3"/>
  <c r="I24" i="3"/>
  <c r="H25" i="3"/>
  <c r="O24" i="3"/>
  <c r="N24" i="3"/>
  <c r="Q24" i="3"/>
  <c r="R24" i="3" s="1"/>
  <c r="S24" i="3" s="1"/>
  <c r="K28" i="2" l="1"/>
  <c r="L27" i="2"/>
  <c r="I25" i="3"/>
  <c r="O25" i="3"/>
  <c r="L25" i="3"/>
  <c r="J25" i="3"/>
  <c r="N25" i="3"/>
  <c r="M25" i="3"/>
  <c r="K25" i="3"/>
  <c r="H26" i="3"/>
  <c r="Q25" i="3"/>
  <c r="R25" i="3" s="1"/>
  <c r="S25" i="3" s="1"/>
  <c r="K29" i="2" l="1"/>
  <c r="L28" i="2"/>
  <c r="K26" i="3"/>
  <c r="J26" i="3"/>
  <c r="Q26" i="3"/>
  <c r="R26" i="3" s="1"/>
  <c r="S26" i="3" s="1"/>
  <c r="N26" i="3"/>
  <c r="O26" i="3"/>
  <c r="M26" i="3"/>
  <c r="L26" i="3"/>
  <c r="I26" i="3"/>
  <c r="H27" i="3"/>
  <c r="K30" i="2" l="1"/>
  <c r="L29" i="2"/>
  <c r="H28" i="3"/>
  <c r="Q27" i="3"/>
  <c r="R27" i="3" s="1"/>
  <c r="S27" i="3" s="1"/>
  <c r="O27" i="3"/>
  <c r="N27" i="3"/>
  <c r="M27" i="3"/>
  <c r="L27" i="3"/>
  <c r="K27" i="3"/>
  <c r="J27" i="3"/>
  <c r="I27" i="3"/>
  <c r="K31" i="2" l="1"/>
  <c r="L30" i="2"/>
  <c r="I28" i="3"/>
  <c r="Q28" i="3"/>
  <c r="R28" i="3" s="1"/>
  <c r="S28" i="3" s="1"/>
  <c r="H29" i="3"/>
  <c r="J28" i="3"/>
  <c r="N28" i="3"/>
  <c r="K28" i="3"/>
  <c r="O28" i="3"/>
  <c r="M28" i="3"/>
  <c r="L28" i="3"/>
  <c r="K32" i="2" l="1"/>
  <c r="L31" i="2"/>
  <c r="L29" i="3"/>
  <c r="H30" i="3"/>
  <c r="K29" i="3"/>
  <c r="J29" i="3"/>
  <c r="I29" i="3"/>
  <c r="N29" i="3"/>
  <c r="M29" i="3"/>
  <c r="Q29" i="3"/>
  <c r="R29" i="3" s="1"/>
  <c r="S29" i="3" s="1"/>
  <c r="O29" i="3"/>
  <c r="K33" i="2" l="1"/>
  <c r="L32" i="2"/>
  <c r="O30" i="3"/>
  <c r="I30" i="3"/>
  <c r="N30" i="3"/>
  <c r="J30" i="3"/>
  <c r="M30" i="3"/>
  <c r="L30" i="3"/>
  <c r="K30" i="3"/>
  <c r="Q30" i="3"/>
  <c r="R30" i="3" s="1"/>
  <c r="S30" i="3" s="1"/>
  <c r="H31" i="3"/>
  <c r="K34" i="2" l="1"/>
  <c r="L33" i="2"/>
  <c r="Q31" i="3"/>
  <c r="R31" i="3" s="1"/>
  <c r="S31" i="3" s="1"/>
  <c r="N31" i="3"/>
  <c r="L31" i="3"/>
  <c r="K31" i="3"/>
  <c r="J31" i="3"/>
  <c r="I31" i="3"/>
  <c r="O31" i="3"/>
  <c r="M31" i="3"/>
  <c r="H32" i="3"/>
  <c r="K35" i="2" l="1"/>
  <c r="L34" i="2"/>
  <c r="H33" i="3"/>
  <c r="M32" i="3"/>
  <c r="L32" i="3"/>
  <c r="Q32" i="3"/>
  <c r="R32" i="3" s="1"/>
  <c r="S32" i="3" s="1"/>
  <c r="O32" i="3"/>
  <c r="N32" i="3"/>
  <c r="K32" i="3"/>
  <c r="J32" i="3"/>
  <c r="I32" i="3"/>
  <c r="K36" i="2" l="1"/>
  <c r="L36" i="2" s="1"/>
  <c r="L35" i="2"/>
  <c r="Q33" i="3"/>
  <c r="R33" i="3" s="1"/>
  <c r="S33" i="3" s="1"/>
  <c r="O33" i="3"/>
  <c r="N33" i="3"/>
  <c r="M33" i="3"/>
  <c r="L33" i="3"/>
  <c r="K33" i="3"/>
  <c r="J33" i="3"/>
  <c r="I33" i="3"/>
  <c r="I36" i="3" l="1"/>
  <c r="I37" i="3" s="1"/>
  <c r="J36" i="3"/>
  <c r="J37" i="3" s="1"/>
  <c r="K36" i="3"/>
  <c r="K37" i="3" s="1"/>
  <c r="L36" i="3"/>
  <c r="L37" i="3" s="1"/>
  <c r="M36" i="3"/>
  <c r="M37" i="3" s="1"/>
  <c r="O36" i="3"/>
  <c r="O37" i="3" s="1"/>
  <c r="N36" i="3"/>
  <c r="N37" i="3" s="1"/>
  <c r="V10" i="3" l="1"/>
  <c r="B34" i="1"/>
  <c r="B33" i="1"/>
  <c r="B32" i="1"/>
  <c r="B31" i="1"/>
  <c r="B30" i="1"/>
  <c r="B29" i="1"/>
  <c r="B28" i="1"/>
  <c r="B27" i="1"/>
  <c r="B26" i="1"/>
  <c r="C25" i="1"/>
  <c r="B25" i="1"/>
  <c r="B46" i="1" s="1"/>
  <c r="C21" i="1"/>
  <c r="E21" i="1" s="1"/>
  <c r="C20" i="1"/>
  <c r="D21" i="1" s="1"/>
  <c r="E44" i="1" s="1"/>
  <c r="C19" i="1"/>
  <c r="D20" i="1" s="1"/>
  <c r="E43" i="1" s="1"/>
  <c r="C18" i="1"/>
  <c r="D19" i="1" s="1"/>
  <c r="E42" i="1" s="1"/>
  <c r="D17" i="1"/>
  <c r="E40" i="1" s="1"/>
  <c r="C17" i="1"/>
  <c r="C16" i="1"/>
  <c r="C15" i="1"/>
  <c r="D16" i="1" s="1"/>
  <c r="E39" i="1" s="1"/>
  <c r="C14" i="1"/>
  <c r="D15" i="1" s="1"/>
  <c r="E38" i="1" s="1"/>
  <c r="C13" i="1"/>
  <c r="D14" i="1" s="1"/>
  <c r="E37" i="1" s="1"/>
  <c r="C12" i="1"/>
  <c r="D12" i="1" s="1"/>
  <c r="D11" i="1"/>
  <c r="E34" i="1" s="1"/>
  <c r="C11" i="1"/>
  <c r="C10" i="1"/>
  <c r="E10" i="1" s="1"/>
  <c r="F33" i="1" s="1"/>
  <c r="C9" i="1"/>
  <c r="D10" i="1" s="1"/>
  <c r="C8" i="1"/>
  <c r="D9" i="1" s="1"/>
  <c r="D7" i="1"/>
  <c r="E30" i="1" s="1"/>
  <c r="C7" i="1"/>
  <c r="C6" i="1"/>
  <c r="D6" i="1" s="1"/>
  <c r="C5" i="1"/>
  <c r="E5" i="1" s="1"/>
  <c r="F28" i="1" s="1"/>
  <c r="C4" i="1"/>
  <c r="D5" i="1" s="1"/>
  <c r="C3" i="1"/>
  <c r="D4" i="1" s="1"/>
  <c r="C2" i="1"/>
  <c r="E11" i="1" s="1"/>
  <c r="F34" i="1" s="1"/>
  <c r="E28" i="1" l="1"/>
  <c r="C28" i="1"/>
  <c r="E29" i="1"/>
  <c r="C29" i="1"/>
  <c r="C32" i="1"/>
  <c r="E32" i="1"/>
  <c r="G39" i="1"/>
  <c r="G29" i="1"/>
  <c r="G42" i="1"/>
  <c r="G38" i="1"/>
  <c r="G27" i="1"/>
  <c r="G30" i="1"/>
  <c r="G33" i="1"/>
  <c r="G44" i="1"/>
  <c r="G37" i="1"/>
  <c r="G43" i="1"/>
  <c r="G26" i="1"/>
  <c r="G36" i="1"/>
  <c r="G32" i="1"/>
  <c r="G35" i="1"/>
  <c r="G25" i="1"/>
  <c r="G40" i="1"/>
  <c r="G28" i="1"/>
  <c r="G41" i="1"/>
  <c r="G34" i="1"/>
  <c r="G31" i="1"/>
  <c r="E33" i="1"/>
  <c r="C33" i="1"/>
  <c r="D34" i="1"/>
  <c r="D46" i="1" s="1"/>
  <c r="E35" i="1"/>
  <c r="E27" i="1"/>
  <c r="C27" i="1"/>
  <c r="E6" i="1"/>
  <c r="F29" i="1" s="1"/>
  <c r="E7" i="1"/>
  <c r="F30" i="1" s="1"/>
  <c r="D13" i="1"/>
  <c r="E36" i="1" s="1"/>
  <c r="E17" i="1"/>
  <c r="E12" i="1"/>
  <c r="F35" i="1" s="1"/>
  <c r="E2" i="1"/>
  <c r="F25" i="1" s="1"/>
  <c r="E18" i="1"/>
  <c r="D8" i="1"/>
  <c r="E13" i="1"/>
  <c r="F36" i="1" s="1"/>
  <c r="E8" i="1"/>
  <c r="F31" i="1" s="1"/>
  <c r="E3" i="1"/>
  <c r="F26" i="1" s="1"/>
  <c r="E19" i="1"/>
  <c r="E14" i="1"/>
  <c r="F37" i="1" s="1"/>
  <c r="C30" i="1"/>
  <c r="E9" i="1"/>
  <c r="F32" i="1" s="1"/>
  <c r="E4" i="1"/>
  <c r="F27" i="1" s="1"/>
  <c r="E20" i="1"/>
  <c r="E15" i="1"/>
  <c r="F38" i="1" s="1"/>
  <c r="C34" i="1"/>
  <c r="D2" i="1"/>
  <c r="E25" i="1" s="1"/>
  <c r="D18" i="1"/>
  <c r="E41" i="1" s="1"/>
  <c r="D3" i="1"/>
  <c r="E16" i="1"/>
  <c r="F39" i="1" s="1"/>
  <c r="G46" i="1" l="1"/>
  <c r="F46" i="1"/>
  <c r="E31" i="1"/>
  <c r="C31" i="1"/>
  <c r="E26" i="1"/>
  <c r="C26" i="1"/>
  <c r="C46" i="1" s="1"/>
  <c r="E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<sst xmlns="http://schemas.openxmlformats.org/spreadsheetml/2006/main" count="575" uniqueCount="99">
  <si>
    <t>Løbetid</t>
  </si>
  <si>
    <t>Nulkuponrente</t>
  </si>
  <si>
    <t>Diskonteringsfaktor</t>
  </si>
  <si>
    <t>1-årige forwardrenter</t>
  </si>
  <si>
    <t>Swaprente</t>
  </si>
  <si>
    <t>2.2</t>
  </si>
  <si>
    <t>t</t>
  </si>
  <si>
    <t>A</t>
  </si>
  <si>
    <t>B</t>
  </si>
  <si>
    <t>C</t>
  </si>
  <si>
    <t>D</t>
  </si>
  <si>
    <t>E</t>
  </si>
  <si>
    <t>F</t>
  </si>
  <si>
    <t>Ligevægtspris</t>
  </si>
  <si>
    <t>A handler over par, da kuponrenten er højere end swaprenten i år 10. Swaprenten er par-renten for stående lån.</t>
  </si>
  <si>
    <t>B handler over par, da den første faste betaling har højere kuponrente end swaprenten i år 1. De variable betalinger er pr. definition i par (fra år 2).</t>
  </si>
  <si>
    <t>C handler over par, da den faste rente er højere end forwardrenten mellem år 10 og 11</t>
  </si>
  <si>
    <t>D handler under par, da den faste rente, der modtages, er under swaprenten i år 20 (der modtages mindre end fair). Ved indgåelse modtages derfor ligevægtsprisen.</t>
  </si>
  <si>
    <t>E handler under par, da den faste rente, der betales, er over swaprenten i år 15 (der betales mere end fair). Ved indgåelse modtages derfor ligevægtsprisen.</t>
  </si>
  <si>
    <t>F er et eksempel på swaprenten og stående låns sammenhæng. Swaprenten giver en par</t>
  </si>
  <si>
    <t>Nulkuponrenter</t>
  </si>
  <si>
    <t>1-årige Forwardrenter</t>
  </si>
  <si>
    <t>Swaprenter</t>
  </si>
  <si>
    <t>Start_dato:</t>
  </si>
  <si>
    <t>ID</t>
  </si>
  <si>
    <t>Udløb</t>
  </si>
  <si>
    <t>Kupon</t>
  </si>
  <si>
    <t>Valørdato</t>
  </si>
  <si>
    <t>Kuponrente</t>
  </si>
  <si>
    <t>Estimat</t>
  </si>
  <si>
    <t>Start</t>
  </si>
  <si>
    <t>Estimerede rentestruktur</t>
  </si>
  <si>
    <t>beta_0</t>
  </si>
  <si>
    <t>ISIN</t>
  </si>
  <si>
    <t>Pris</t>
  </si>
  <si>
    <t>Udløbsdato</t>
  </si>
  <si>
    <t>Vedh.rente</t>
  </si>
  <si>
    <t>Kurs inkl. Vedh.rente</t>
  </si>
  <si>
    <t>Dato</t>
  </si>
  <si>
    <t>r(t)</t>
  </si>
  <si>
    <t>P(0,t)</t>
  </si>
  <si>
    <t>beta_1</t>
  </si>
  <si>
    <t>DK0009924292</t>
  </si>
  <si>
    <t>beta_2</t>
  </si>
  <si>
    <t>DK0009923138</t>
  </si>
  <si>
    <t>tau_1</t>
  </si>
  <si>
    <t>DK0009924888</t>
  </si>
  <si>
    <t>beta_3</t>
  </si>
  <si>
    <t>DK0009923567</t>
  </si>
  <si>
    <t>tau_2</t>
  </si>
  <si>
    <t>DK0009923807</t>
  </si>
  <si>
    <t>Optimering</t>
  </si>
  <si>
    <t>DK0009924532</t>
  </si>
  <si>
    <t>Objektfunktion</t>
  </si>
  <si>
    <t>DK0009924029</t>
  </si>
  <si>
    <t>Kurs inkl. Vedh.renter</t>
  </si>
  <si>
    <t>Modelpris</t>
  </si>
  <si>
    <t>Diff^2</t>
  </si>
  <si>
    <t>Næste termin</t>
  </si>
  <si>
    <t>Cashflow</t>
  </si>
  <si>
    <t>Datoer</t>
  </si>
  <si>
    <t>A(0,T)</t>
  </si>
  <si>
    <t>B(0,T)</t>
  </si>
  <si>
    <t>P(0,T)</t>
  </si>
  <si>
    <t>a</t>
  </si>
  <si>
    <t>b</t>
  </si>
  <si>
    <t>sigma</t>
  </si>
  <si>
    <t>r0</t>
  </si>
  <si>
    <t>PV</t>
  </si>
  <si>
    <t>r_0</t>
  </si>
  <si>
    <t>A(0,t)</t>
  </si>
  <si>
    <t>B(0,t)</t>
  </si>
  <si>
    <t>Parametre</t>
  </si>
  <si>
    <t>gamma</t>
  </si>
  <si>
    <t>Sum</t>
  </si>
  <si>
    <t>AKTIVER</t>
  </si>
  <si>
    <t>Statsobl</t>
  </si>
  <si>
    <t>Udlån</t>
  </si>
  <si>
    <t>I alt</t>
  </si>
  <si>
    <t>PASSIVER</t>
  </si>
  <si>
    <t>Indskud</t>
  </si>
  <si>
    <t>Obligationer</t>
  </si>
  <si>
    <t>Reserver</t>
  </si>
  <si>
    <t>Vasicek_2023</t>
  </si>
  <si>
    <t>Vasicek_2024</t>
  </si>
  <si>
    <t>CIR_2023</t>
  </si>
  <si>
    <t>CIR_2024</t>
  </si>
  <si>
    <t>Vasicek_2023procent</t>
  </si>
  <si>
    <t>CIR_2023procent</t>
  </si>
  <si>
    <t>Oprindelig</t>
  </si>
  <si>
    <t>Startrente</t>
  </si>
  <si>
    <t>Vasicek_2024procent</t>
  </si>
  <si>
    <t>CIR_2024procent</t>
  </si>
  <si>
    <t>Renterisiko</t>
  </si>
  <si>
    <t>Vasicek</t>
  </si>
  <si>
    <t>CIR</t>
  </si>
  <si>
    <t>Derivater</t>
  </si>
  <si>
    <t>Kurs</t>
  </si>
  <si>
    <t>Payer swaptions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</si>
</sst>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%"/>
    <numFmt numFmtId="165" formatCode="#,##0.000"/>
    <numFmt numFmtId="166" formatCode="#,##0.0000"/>
    <numFmt numFmtId="167" formatCode="#,##0.00000"/>
    <numFmt numFmtId="168" formatCode="#,##0.000000"/>
    <numFmt numFmtId="169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1" fillId="0" borderId="0" xfId="0" applyFon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0" fontId="3" fillId="0" borderId="0" xfId="0" applyFont="1"/>
    <xf numFmtId="2" fontId="0" fillId="0" borderId="0" xfId="0" applyNumberFormat="1"/>
    <xf numFmtId="164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169" fontId="0" fillId="0" borderId="0" xfId="1" applyNumberFormat="1" applyFont="1"/>
    <xf numFmtId="168" fontId="0" fillId="0" borderId="0" xfId="1" applyNumberFormat="1" applyFont="1"/>
    <xf numFmtId="10" fontId="0" fillId="0" borderId="0" xfId="0" applyNumberFormat="1"/>
    <xf numFmtId="166" fontId="1" fillId="0" borderId="0" xfId="0" applyNumberFormat="1" applyFont="1"/>
    <xf numFmtId="0" fontId="0" fillId="0" borderId="0" xfId="0" quotePrefix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'Nelson Siegel Svensson estimati'!$R$3</c:f>
              <c:strCache>
                <c:ptCount val="1"/>
                <c:pt idx="0">
                  <c:v>r(t)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'Nelson Siegel Svensson estimati'!$Q$4:$Q$33</c:f>
              <c:numCache>
                <c:formatCode>0.00</c:formatCode>
                <c:ptCount val="30"/>
                <c:pt idx="0">
                  <c:v>0.12054794520547946</c:v>
                </c:pt>
                <c:pt idx="1">
                  <c:v>1.1232876712328768</c:v>
                </c:pt>
                <c:pt idx="2">
                  <c:v>2.1232876712328768</c:v>
                </c:pt>
                <c:pt idx="3">
                  <c:v>3.1232876712328768</c:v>
                </c:pt>
                <c:pt idx="4">
                  <c:v>4.1232876712328768</c:v>
                </c:pt>
                <c:pt idx="5">
                  <c:v>5.1260273972602741</c:v>
                </c:pt>
                <c:pt idx="6">
                  <c:v>6.1260273972602741</c:v>
                </c:pt>
                <c:pt idx="7">
                  <c:v>7.1260273972602741</c:v>
                </c:pt>
                <c:pt idx="8">
                  <c:v>8.1260273972602732</c:v>
                </c:pt>
                <c:pt idx="9">
                  <c:v>9.1287671232876715</c:v>
                </c:pt>
                <c:pt idx="10">
                  <c:v>10.128767123287671</c:v>
                </c:pt>
                <c:pt idx="11">
                  <c:v>11.128767123287671</c:v>
                </c:pt>
                <c:pt idx="12">
                  <c:v>12.128767123287671</c:v>
                </c:pt>
                <c:pt idx="13">
                  <c:v>13.131506849315068</c:v>
                </c:pt>
                <c:pt idx="14">
                  <c:v>14.131506849315068</c:v>
                </c:pt>
                <c:pt idx="15">
                  <c:v>15.131506849315068</c:v>
                </c:pt>
                <c:pt idx="16">
                  <c:v>16.13150684931507</c:v>
                </c:pt>
                <c:pt idx="17">
                  <c:v>17.134246575342466</c:v>
                </c:pt>
                <c:pt idx="18">
                  <c:v>18.134246575342466</c:v>
                </c:pt>
                <c:pt idx="19">
                  <c:v>19.134246575342466</c:v>
                </c:pt>
                <c:pt idx="20">
                  <c:v>20.134246575342466</c:v>
                </c:pt>
                <c:pt idx="21">
                  <c:v>21.136986301369863</c:v>
                </c:pt>
                <c:pt idx="22">
                  <c:v>22.136986301369863</c:v>
                </c:pt>
                <c:pt idx="23">
                  <c:v>23.136986301369863</c:v>
                </c:pt>
                <c:pt idx="24">
                  <c:v>24.136986301369863</c:v>
                </c:pt>
                <c:pt idx="25">
                  <c:v>25.139726027397259</c:v>
                </c:pt>
                <c:pt idx="26">
                  <c:v>26.139726027397259</c:v>
                </c:pt>
                <c:pt idx="27">
                  <c:v>27.139726027397259</c:v>
                </c:pt>
                <c:pt idx="28">
                  <c:v>28.139726027397259</c:v>
                </c:pt>
                <c:pt idx="29">
                  <c:v>29.142465753424659</c:v>
                </c:pt>
              </c:numCache>
            </c:numRef>
          </c:xVal>
          <c:yVal>
            <c:numRef>
              <c:f>'Nelson Siegel Svensson estimati'!$R$4:$R$33</c:f>
              <c:numCache>
                <c:formatCode>0.0000%</c:formatCode>
                <c:ptCount val="30"/>
                <c:pt idx="0">
                  <c:v>6.0741430253341305E-2</c:v>
                </c:pt>
                <c:pt idx="1">
                  <c:v>3.5204438709113245E-2</c:v>
                </c:pt>
                <c:pt idx="2">
                  <c:v>2.8305789914896112E-2</c:v>
                </c:pt>
                <c:pt idx="3">
                  <c:v>2.7529237152520217E-2</c:v>
                </c:pt>
                <c:pt idx="4">
                  <c:v>2.8416049606127564E-2</c:v>
                </c:pt>
                <c:pt idx="5">
                  <c:v>2.9486748743321013E-2</c:v>
                </c:pt>
                <c:pt idx="6">
                  <c:v>3.0326522607318919E-2</c:v>
                </c:pt>
                <c:pt idx="7">
                  <c:v>3.0889381373009776E-2</c:v>
                </c:pt>
                <c:pt idx="8">
                  <c:v>3.1226765396747388E-2</c:v>
                </c:pt>
                <c:pt idx="9">
                  <c:v>3.1404162534004423E-2</c:v>
                </c:pt>
                <c:pt idx="10">
                  <c:v>3.1474835264964425E-2</c:v>
                </c:pt>
                <c:pt idx="11">
                  <c:v>3.1478715587998904E-2</c:v>
                </c:pt>
                <c:pt idx="12">
                  <c:v>3.1442533532282539E-2</c:v>
                </c:pt>
                <c:pt idx="13">
                  <c:v>3.1383638715858989E-2</c:v>
                </c:pt>
                <c:pt idx="14">
                  <c:v>3.131355831461502E-2</c:v>
                </c:pt>
                <c:pt idx="15">
                  <c:v>3.1239105408355641E-2</c:v>
                </c:pt>
                <c:pt idx="16">
                  <c:v>3.1164475020353036E-2</c:v>
                </c:pt>
                <c:pt idx="17">
                  <c:v>3.1091900061116211E-2</c:v>
                </c:pt>
                <c:pt idx="18">
                  <c:v>3.1023087311312994E-2</c:v>
                </c:pt>
                <c:pt idx="19">
                  <c:v>3.0958445909955248E-2</c:v>
                </c:pt>
                <c:pt idx="20">
                  <c:v>3.0898164909698232E-2</c:v>
                </c:pt>
                <c:pt idx="21">
                  <c:v>3.0842037405964754E-2</c:v>
                </c:pt>
                <c:pt idx="22">
                  <c:v>3.0790171855639648E-2</c:v>
                </c:pt>
                <c:pt idx="23">
                  <c:v>3.0742141414880679E-2</c:v>
                </c:pt>
                <c:pt idx="24">
                  <c:v>3.0697650568612855E-2</c:v>
                </c:pt>
                <c:pt idx="25">
                  <c:v>3.0656292004996342E-2</c:v>
                </c:pt>
                <c:pt idx="26">
                  <c:v>3.0618003775215365E-2</c:v>
                </c:pt>
                <c:pt idx="27">
                  <c:v>3.0582399888811021E-2</c:v>
                </c:pt>
                <c:pt idx="28">
                  <c:v>3.0549233529841138E-2</c:v>
                </c:pt>
                <c:pt idx="29">
                  <c:v>3.0518198608536707E-2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C6-441E-8E0C-C048C769A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703936"/>
        <c:axId val="259311120"/>
      </c:scatterChart>
      <c:valAx>
        <c:axId val="96770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59311120"/>
        <c:crosses val="autoZero"/>
        <c:crossBetween val="midCat"/>
      </c:valAx>
      <c:valAx>
        <c:axId val="25931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6770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10</xdr:row>
      <xdr:rowOff>190499</xdr:rowOff>
    </xdr:from>
    <xdr:to>
      <xdr:col>28</xdr:col>
      <xdr:colOff>9525</xdr:colOff>
      <xdr:row>33</xdr:row>
      <xdr:rowOff>9524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3D4AE3C-4890-4B95-B28A-146D65B46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0AE5-B585-49B1-85D0-6DD2712CD87A}">
  <dimension ref="A1:G53"/>
  <sheetViews>
    <sheetView topLeftCell="A13" zoomScaleNormal="100" workbookViewId="0">
      <selection activeCell="B46" sqref="B46"/>
    </sheetView>
  </sheetViews>
  <sheetFormatPr defaultRowHeight="15" x14ac:dyDescent="0.25"/>
  <cols>
    <col min="2" max="3" width="10" bestFit="1" customWidth="1"/>
    <col min="7" max="7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2.4499999999999999E-3</v>
      </c>
      <c r="C2">
        <f>(1+B2)^-A2</f>
        <v>0.99755598782981691</v>
      </c>
      <c r="D2" s="1">
        <f>(1/C2)^(1/(A2-0))-1</f>
        <v>2.4500000000000632E-3</v>
      </c>
      <c r="E2" s="1">
        <f>(1-C2)/SUM($C$2:C2)</f>
        <v>2.4500000000000337E-3</v>
      </c>
    </row>
    <row r="3" spans="1:5" x14ac:dyDescent="0.25">
      <c r="A3">
        <v>2</v>
      </c>
      <c r="B3" s="1">
        <v>3.3500000000000001E-3</v>
      </c>
      <c r="C3">
        <f t="shared" ref="C3:C21" si="0">(1+B3)^-A3</f>
        <v>0.993333517745701</v>
      </c>
      <c r="D3" s="1">
        <f>(C2/C3)^(1/(A3-A2))-1</f>
        <v>4.2508080203500498E-3</v>
      </c>
      <c r="E3" s="1">
        <f>(1-C3)/SUM($C$2:C3)</f>
        <v>3.3484943466874527E-3</v>
      </c>
    </row>
    <row r="4" spans="1:5" x14ac:dyDescent="0.25">
      <c r="A4">
        <v>3</v>
      </c>
      <c r="B4" s="1">
        <v>4.2599999999999999E-3</v>
      </c>
      <c r="C4">
        <f t="shared" si="0"/>
        <v>0.98732811742297499</v>
      </c>
      <c r="D4" s="1">
        <f t="shared" ref="D4:D21" si="1">(C3/C4)^(1/(A4-A3))-1</f>
        <v>6.0824767539293667E-3</v>
      </c>
      <c r="E4" s="1">
        <f>(1-C4)/SUM($C$2:C4)</f>
        <v>4.2548544737529472E-3</v>
      </c>
    </row>
    <row r="5" spans="1:5" x14ac:dyDescent="0.25">
      <c r="A5">
        <v>4</v>
      </c>
      <c r="B5" s="1">
        <v>5.0400000000000002E-3</v>
      </c>
      <c r="C5">
        <f t="shared" si="0"/>
        <v>0.98009147792141893</v>
      </c>
      <c r="D5" s="1">
        <f t="shared" si="1"/>
        <v>7.3836367977646589E-3</v>
      </c>
      <c r="E5" s="1">
        <f>(1-C5)/SUM($C$2:C5)</f>
        <v>5.0295521574993535E-3</v>
      </c>
    </row>
    <row r="6" spans="1:5" x14ac:dyDescent="0.25">
      <c r="A6">
        <v>5</v>
      </c>
      <c r="B6" s="1">
        <v>5.6699999999999997E-3</v>
      </c>
      <c r="C6">
        <f t="shared" si="0"/>
        <v>0.97212592516794472</v>
      </c>
      <c r="D6" s="1">
        <f t="shared" si="1"/>
        <v>8.1939515727842416E-3</v>
      </c>
      <c r="E6" s="1">
        <f>(1-C6)/SUM($C$2:C6)</f>
        <v>5.6534716885159875E-3</v>
      </c>
    </row>
    <row r="7" spans="1:5" x14ac:dyDescent="0.25">
      <c r="A7">
        <v>6</v>
      </c>
      <c r="B7" s="1">
        <v>6.1399999999999996E-3</v>
      </c>
      <c r="C7">
        <f t="shared" si="0"/>
        <v>0.96393890587368514</v>
      </c>
      <c r="D7" s="1">
        <f t="shared" si="1"/>
        <v>8.4932968722111202E-3</v>
      </c>
      <c r="E7" s="1">
        <f>(1-C7)/SUM($C$2:C7)</f>
        <v>6.1178836874901787E-3</v>
      </c>
    </row>
    <row r="8" spans="1:5" x14ac:dyDescent="0.25">
      <c r="A8">
        <v>7</v>
      </c>
      <c r="B8" s="1">
        <v>6.5100000000000002E-3</v>
      </c>
      <c r="C8">
        <f t="shared" si="0"/>
        <v>0.955593839509007</v>
      </c>
      <c r="D8" s="1">
        <f t="shared" si="1"/>
        <v>8.7328591077626694E-3</v>
      </c>
      <c r="E8" s="1">
        <f>(1-C8)/SUM($C$2:C8)</f>
        <v>6.4826816669036526E-3</v>
      </c>
    </row>
    <row r="9" spans="1:5" x14ac:dyDescent="0.25">
      <c r="A9">
        <v>8</v>
      </c>
      <c r="B9" s="1">
        <v>6.8100000000000001E-3</v>
      </c>
      <c r="C9">
        <f t="shared" si="0"/>
        <v>0.94715233936493848</v>
      </c>
      <c r="D9" s="1">
        <f t="shared" si="1"/>
        <v>8.9125051939675792E-3</v>
      </c>
      <c r="E9" s="1">
        <f>(1-C9)/SUM($C$2:C9)</f>
        <v>6.7778435991540367E-3</v>
      </c>
    </row>
    <row r="10" spans="1:5" x14ac:dyDescent="0.25">
      <c r="A10">
        <v>9</v>
      </c>
      <c r="B10" s="1">
        <v>7.0699999999999999E-3</v>
      </c>
      <c r="C10">
        <f t="shared" si="0"/>
        <v>0.93856222500301378</v>
      </c>
      <c r="D10" s="1">
        <f t="shared" si="1"/>
        <v>9.1524185963238747E-3</v>
      </c>
      <c r="E10" s="1">
        <f>(1-C10)/SUM($C$2:C10)</f>
        <v>7.0329680767963797E-3</v>
      </c>
    </row>
    <row r="11" spans="1:5" x14ac:dyDescent="0.25">
      <c r="A11">
        <v>10</v>
      </c>
      <c r="B11" s="1">
        <v>7.2899999999999996E-3</v>
      </c>
      <c r="C11">
        <f t="shared" si="0"/>
        <v>0.92993967188309823</v>
      </c>
      <c r="D11" s="1">
        <f t="shared" si="1"/>
        <v>9.2721639700079628E-3</v>
      </c>
      <c r="E11" s="1">
        <f>(1-C11)/SUM($C$2:C11)</f>
        <v>7.2484034716992348E-3</v>
      </c>
    </row>
    <row r="12" spans="1:5" x14ac:dyDescent="0.25">
      <c r="A12">
        <v>11</v>
      </c>
      <c r="B12" s="1">
        <v>7.4900000000000001E-3</v>
      </c>
      <c r="C12">
        <f t="shared" si="0"/>
        <v>0.9211955133000449</v>
      </c>
      <c r="D12" s="1">
        <f t="shared" si="1"/>
        <v>9.4921853795495448E-3</v>
      </c>
      <c r="E12" s="1">
        <f>(1-C12)/SUM($C$2:C12)</f>
        <v>7.4436426757594982E-3</v>
      </c>
    </row>
    <row r="13" spans="1:5" x14ac:dyDescent="0.25">
      <c r="A13">
        <v>12</v>
      </c>
      <c r="B13" s="1">
        <v>7.7200000000000003E-3</v>
      </c>
      <c r="C13">
        <f t="shared" si="0"/>
        <v>0.91184593015921034</v>
      </c>
      <c r="D13" s="1">
        <f t="shared" si="1"/>
        <v>1.0253468082269235E-2</v>
      </c>
      <c r="E13" s="1">
        <f>(1-C13)/SUM($C$2:C13)</f>
        <v>7.666462299297635E-3</v>
      </c>
    </row>
    <row r="14" spans="1:5" x14ac:dyDescent="0.25">
      <c r="A14">
        <v>13</v>
      </c>
      <c r="B14" s="1">
        <v>8.0099999999999998E-3</v>
      </c>
      <c r="C14">
        <f t="shared" si="0"/>
        <v>0.90148202723078164</v>
      </c>
      <c r="D14" s="1">
        <f t="shared" si="1"/>
        <v>1.1496516420038905E-2</v>
      </c>
      <c r="E14" s="1">
        <f>(1-C14)/SUM($C$2:C14)</f>
        <v>7.9449045933159303E-3</v>
      </c>
    </row>
    <row r="15" spans="1:5" x14ac:dyDescent="0.25">
      <c r="A15">
        <v>14</v>
      </c>
      <c r="B15" s="1">
        <v>8.3800000000000003E-3</v>
      </c>
      <c r="C15">
        <f t="shared" si="0"/>
        <v>0.88973540492305403</v>
      </c>
      <c r="D15" s="1">
        <f t="shared" si="1"/>
        <v>1.3202377069330584E-2</v>
      </c>
      <c r="E15" s="1">
        <f>(1-C15)/SUM($C$2:C15)</f>
        <v>8.2968836248349005E-3</v>
      </c>
    </row>
    <row r="16" spans="1:5" x14ac:dyDescent="0.25">
      <c r="A16">
        <v>15</v>
      </c>
      <c r="B16" s="1">
        <v>8.8599999999999998E-3</v>
      </c>
      <c r="C16">
        <f t="shared" si="0"/>
        <v>0.87606524731194468</v>
      </c>
      <c r="D16" s="1">
        <f t="shared" si="1"/>
        <v>1.5604040513025552E-2</v>
      </c>
      <c r="E16" s="1">
        <f>(1-C16)/SUM($C$2:C16)</f>
        <v>8.748780458788746E-3</v>
      </c>
    </row>
    <row r="17" spans="1:7" x14ac:dyDescent="0.25">
      <c r="A17">
        <v>16</v>
      </c>
      <c r="B17" s="1">
        <v>9.4400000000000005E-3</v>
      </c>
      <c r="C17">
        <f t="shared" si="0"/>
        <v>0.86042265922728423</v>
      </c>
      <c r="D17" s="1">
        <f t="shared" si="1"/>
        <v>1.8180121033433139E-2</v>
      </c>
      <c r="E17" s="1">
        <f>(1-C17)/SUM($C$2:C17)</f>
        <v>9.2888270429496711E-3</v>
      </c>
    </row>
    <row r="18" spans="1:7" x14ac:dyDescent="0.25">
      <c r="A18">
        <v>17</v>
      </c>
      <c r="B18" s="1">
        <v>1.009E-2</v>
      </c>
      <c r="C18">
        <f t="shared" si="0"/>
        <v>0.84309940608168255</v>
      </c>
      <c r="D18" s="1">
        <f t="shared" si="1"/>
        <v>2.0547106332468923E-2</v>
      </c>
      <c r="E18" s="1">
        <f>(1-C18)/SUM($C$2:C18)</f>
        <v>9.8869471856847871E-3</v>
      </c>
    </row>
    <row r="19" spans="1:7" x14ac:dyDescent="0.25">
      <c r="A19">
        <v>18</v>
      </c>
      <c r="B19" s="1">
        <v>1.078E-2</v>
      </c>
      <c r="C19">
        <f t="shared" si="0"/>
        <v>0.82448067103899059</v>
      </c>
      <c r="D19" s="1">
        <f t="shared" si="1"/>
        <v>2.2582379061996782E-2</v>
      </c>
      <c r="E19" s="1">
        <f>(1-C19)/SUM($C$2:C19)</f>
        <v>1.0513949117696569E-2</v>
      </c>
    </row>
    <row r="20" spans="1:7" x14ac:dyDescent="0.25">
      <c r="A20">
        <v>19</v>
      </c>
      <c r="B20" s="1">
        <v>1.149E-2</v>
      </c>
      <c r="C20">
        <f t="shared" si="0"/>
        <v>0.80487738163391054</v>
      </c>
      <c r="D20" s="1">
        <f t="shared" si="1"/>
        <v>2.4355622175995517E-2</v>
      </c>
      <c r="E20" s="1">
        <f>(1-C20)/SUM($C$2:C20)</f>
        <v>1.1150611794970107E-2</v>
      </c>
    </row>
    <row r="21" spans="1:7" x14ac:dyDescent="0.25">
      <c r="A21">
        <v>20</v>
      </c>
      <c r="B21" s="1">
        <v>1.221E-2</v>
      </c>
      <c r="C21">
        <f t="shared" si="0"/>
        <v>0.78449021139882313</v>
      </c>
      <c r="D21" s="1">
        <f t="shared" si="1"/>
        <v>2.5987794288389043E-2</v>
      </c>
      <c r="E21" s="1">
        <f>(1-C21)/SUM($C$2:C21)</f>
        <v>1.1787237237420482E-2</v>
      </c>
    </row>
    <row r="23" spans="1:7" x14ac:dyDescent="0.25">
      <c r="A23" s="2" t="s">
        <v>5</v>
      </c>
    </row>
    <row r="24" spans="1:7" x14ac:dyDescent="0.25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25">
      <c r="A25">
        <v>1</v>
      </c>
      <c r="B25" s="3">
        <f>100000*0.75%</f>
        <v>750</v>
      </c>
      <c r="C25" s="3">
        <f>100000*1%</f>
        <v>1000</v>
      </c>
      <c r="D25">
        <v>0</v>
      </c>
      <c r="E25">
        <f>100000*(1%-D2)</f>
        <v>754.99999999999375</v>
      </c>
      <c r="F25">
        <f>100000*(E2-0.9%)</f>
        <v>-654.9999999999967</v>
      </c>
      <c r="G25">
        <f>$E$21*100</f>
        <v>1.1787237237420483</v>
      </c>
    </row>
    <row r="26" spans="1:7" x14ac:dyDescent="0.25">
      <c r="A26">
        <v>2</v>
      </c>
      <c r="B26" s="3">
        <f t="shared" ref="B26:B33" si="2">100000*0.75%</f>
        <v>750</v>
      </c>
      <c r="C26" s="3">
        <f>100000*D3</f>
        <v>425.08080203500498</v>
      </c>
      <c r="D26">
        <v>0</v>
      </c>
      <c r="E26">
        <f t="shared" ref="E26:E44" si="3">100000*(1%-D3)</f>
        <v>574.91919796499508</v>
      </c>
      <c r="F26">
        <f t="shared" ref="F26:F39" si="4">100000*(E3-0.9%)</f>
        <v>-565.15056533125482</v>
      </c>
      <c r="G26">
        <f t="shared" ref="G26:G43" si="5">$E$21*100</f>
        <v>1.1787237237420483</v>
      </c>
    </row>
    <row r="27" spans="1:7" x14ac:dyDescent="0.25">
      <c r="A27">
        <v>3</v>
      </c>
      <c r="B27" s="3">
        <f t="shared" si="2"/>
        <v>750</v>
      </c>
      <c r="C27" s="3">
        <f t="shared" ref="C27:C33" si="6">100000*D4</f>
        <v>608.24767539293669</v>
      </c>
      <c r="D27">
        <v>0</v>
      </c>
      <c r="E27">
        <f t="shared" si="3"/>
        <v>391.75232460706337</v>
      </c>
      <c r="F27">
        <f t="shared" si="4"/>
        <v>-474.5145526247054</v>
      </c>
      <c r="G27">
        <f t="shared" si="5"/>
        <v>1.1787237237420483</v>
      </c>
    </row>
    <row r="28" spans="1:7" x14ac:dyDescent="0.25">
      <c r="A28">
        <v>4</v>
      </c>
      <c r="B28" s="3">
        <f t="shared" si="2"/>
        <v>750</v>
      </c>
      <c r="C28" s="3">
        <f t="shared" si="6"/>
        <v>738.36367977646591</v>
      </c>
      <c r="D28">
        <v>0</v>
      </c>
      <c r="E28">
        <f t="shared" si="3"/>
        <v>261.63632022353414</v>
      </c>
      <c r="F28">
        <f t="shared" si="4"/>
        <v>-397.04478425006477</v>
      </c>
      <c r="G28">
        <f t="shared" si="5"/>
        <v>1.1787237237420483</v>
      </c>
    </row>
    <row r="29" spans="1:7" x14ac:dyDescent="0.25">
      <c r="A29">
        <v>5</v>
      </c>
      <c r="B29" s="3">
        <f t="shared" si="2"/>
        <v>750</v>
      </c>
      <c r="C29" s="3">
        <f t="shared" si="6"/>
        <v>819.39515727842411</v>
      </c>
      <c r="D29">
        <v>0</v>
      </c>
      <c r="E29">
        <f t="shared" si="3"/>
        <v>180.60484272157586</v>
      </c>
      <c r="F29">
        <f t="shared" si="4"/>
        <v>-334.65283114840133</v>
      </c>
      <c r="G29">
        <f t="shared" si="5"/>
        <v>1.1787237237420483</v>
      </c>
    </row>
    <row r="30" spans="1:7" x14ac:dyDescent="0.25">
      <c r="A30">
        <v>6</v>
      </c>
      <c r="B30" s="3">
        <f t="shared" si="2"/>
        <v>750</v>
      </c>
      <c r="C30" s="3">
        <f t="shared" si="6"/>
        <v>849.32968722111207</v>
      </c>
      <c r="D30">
        <v>0</v>
      </c>
      <c r="E30">
        <f t="shared" si="3"/>
        <v>150.67031277888799</v>
      </c>
      <c r="F30">
        <f t="shared" si="4"/>
        <v>-288.21163125098224</v>
      </c>
      <c r="G30">
        <f t="shared" si="5"/>
        <v>1.1787237237420483</v>
      </c>
    </row>
    <row r="31" spans="1:7" x14ac:dyDescent="0.25">
      <c r="A31">
        <v>7</v>
      </c>
      <c r="B31" s="3">
        <f t="shared" si="2"/>
        <v>750</v>
      </c>
      <c r="C31" s="3">
        <f t="shared" si="6"/>
        <v>873.28591077626697</v>
      </c>
      <c r="D31">
        <v>0</v>
      </c>
      <c r="E31">
        <f t="shared" si="3"/>
        <v>126.71408922373308</v>
      </c>
      <c r="F31">
        <f t="shared" si="4"/>
        <v>-251.73183330963485</v>
      </c>
      <c r="G31">
        <f t="shared" si="5"/>
        <v>1.1787237237420483</v>
      </c>
    </row>
    <row r="32" spans="1:7" x14ac:dyDescent="0.25">
      <c r="A32">
        <v>8</v>
      </c>
      <c r="B32" s="3">
        <f t="shared" si="2"/>
        <v>750</v>
      </c>
      <c r="C32" s="3">
        <f t="shared" si="6"/>
        <v>891.25051939675791</v>
      </c>
      <c r="D32">
        <v>0</v>
      </c>
      <c r="E32">
        <f t="shared" si="3"/>
        <v>108.74948060324209</v>
      </c>
      <c r="F32">
        <f t="shared" si="4"/>
        <v>-222.21564008459643</v>
      </c>
      <c r="G32">
        <f t="shared" si="5"/>
        <v>1.1787237237420483</v>
      </c>
    </row>
    <row r="33" spans="1:7" x14ac:dyDescent="0.25">
      <c r="A33">
        <v>9</v>
      </c>
      <c r="B33" s="3">
        <f t="shared" si="2"/>
        <v>750</v>
      </c>
      <c r="C33" s="3">
        <f t="shared" si="6"/>
        <v>915.24185963238745</v>
      </c>
      <c r="D33">
        <v>0</v>
      </c>
      <c r="E33">
        <f t="shared" si="3"/>
        <v>84.758140367612555</v>
      </c>
      <c r="F33">
        <f t="shared" si="4"/>
        <v>-196.70319232036215</v>
      </c>
      <c r="G33">
        <f t="shared" si="5"/>
        <v>1.1787237237420483</v>
      </c>
    </row>
    <row r="34" spans="1:7" x14ac:dyDescent="0.25">
      <c r="A34">
        <v>10</v>
      </c>
      <c r="B34" s="3">
        <f>100000*(1+0.75%)</f>
        <v>100750</v>
      </c>
      <c r="C34" s="3">
        <f>100000*(1+D11)</f>
        <v>100927.2163970008</v>
      </c>
      <c r="D34">
        <f>(100000*(1%-D12))/(1+D12)</f>
        <v>50.303967460582861</v>
      </c>
      <c r="E34">
        <f t="shared" si="3"/>
        <v>72.783602999203737</v>
      </c>
      <c r="F34">
        <f t="shared" si="4"/>
        <v>-175.15965283007662</v>
      </c>
      <c r="G34">
        <f t="shared" si="5"/>
        <v>1.1787237237420483</v>
      </c>
    </row>
    <row r="35" spans="1:7" x14ac:dyDescent="0.25">
      <c r="A35">
        <v>11</v>
      </c>
      <c r="E35">
        <f t="shared" si="3"/>
        <v>50.781462045045544</v>
      </c>
      <c r="F35">
        <f t="shared" si="4"/>
        <v>-155.6357324240503</v>
      </c>
      <c r="G35">
        <f t="shared" si="5"/>
        <v>1.1787237237420483</v>
      </c>
    </row>
    <row r="36" spans="1:7" x14ac:dyDescent="0.25">
      <c r="A36">
        <v>12</v>
      </c>
      <c r="E36">
        <f t="shared" si="3"/>
        <v>-25.346808226923457</v>
      </c>
      <c r="F36">
        <f t="shared" si="4"/>
        <v>-133.35377007023661</v>
      </c>
      <c r="G36">
        <f t="shared" si="5"/>
        <v>1.1787237237420483</v>
      </c>
    </row>
    <row r="37" spans="1:7" x14ac:dyDescent="0.25">
      <c r="A37">
        <v>13</v>
      </c>
      <c r="E37">
        <f t="shared" si="3"/>
        <v>-149.65164200389046</v>
      </c>
      <c r="F37">
        <f t="shared" si="4"/>
        <v>-105.50954066840708</v>
      </c>
      <c r="G37">
        <f t="shared" si="5"/>
        <v>1.1787237237420483</v>
      </c>
    </row>
    <row r="38" spans="1:7" x14ac:dyDescent="0.25">
      <c r="A38">
        <v>14</v>
      </c>
      <c r="E38">
        <f t="shared" si="3"/>
        <v>-320.2377069330584</v>
      </c>
      <c r="F38">
        <f t="shared" si="4"/>
        <v>-70.311637516510046</v>
      </c>
      <c r="G38">
        <f t="shared" si="5"/>
        <v>1.1787237237420483</v>
      </c>
    </row>
    <row r="39" spans="1:7" x14ac:dyDescent="0.25">
      <c r="A39">
        <v>15</v>
      </c>
      <c r="E39">
        <f t="shared" si="3"/>
        <v>-560.40405130255522</v>
      </c>
      <c r="F39">
        <f t="shared" si="4"/>
        <v>-25.121954121125508</v>
      </c>
      <c r="G39">
        <f t="shared" si="5"/>
        <v>1.1787237237420483</v>
      </c>
    </row>
    <row r="40" spans="1:7" x14ac:dyDescent="0.25">
      <c r="A40">
        <v>16</v>
      </c>
      <c r="E40">
        <f t="shared" si="3"/>
        <v>-818.01210334331381</v>
      </c>
      <c r="G40">
        <f t="shared" si="5"/>
        <v>1.1787237237420483</v>
      </c>
    </row>
    <row r="41" spans="1:7" x14ac:dyDescent="0.25">
      <c r="A41">
        <v>17</v>
      </c>
      <c r="E41">
        <f t="shared" si="3"/>
        <v>-1054.7106332468923</v>
      </c>
      <c r="G41">
        <f t="shared" si="5"/>
        <v>1.1787237237420483</v>
      </c>
    </row>
    <row r="42" spans="1:7" x14ac:dyDescent="0.25">
      <c r="A42">
        <v>18</v>
      </c>
      <c r="E42">
        <f t="shared" si="3"/>
        <v>-1258.2379061996783</v>
      </c>
      <c r="G42">
        <f t="shared" si="5"/>
        <v>1.1787237237420483</v>
      </c>
    </row>
    <row r="43" spans="1:7" x14ac:dyDescent="0.25">
      <c r="A43">
        <v>19</v>
      </c>
      <c r="E43">
        <f t="shared" si="3"/>
        <v>-1435.5622175995518</v>
      </c>
      <c r="G43">
        <f t="shared" si="5"/>
        <v>1.1787237237420483</v>
      </c>
    </row>
    <row r="44" spans="1:7" x14ac:dyDescent="0.25">
      <c r="A44">
        <v>20</v>
      </c>
      <c r="E44">
        <f t="shared" si="3"/>
        <v>-1598.7794288389041</v>
      </c>
      <c r="G44">
        <f>$E$21*100+100</f>
        <v>101.17872372374205</v>
      </c>
    </row>
    <row r="46" spans="1:7" x14ac:dyDescent="0.25">
      <c r="A46" t="s">
        <v>13</v>
      </c>
      <c r="B46" s="3">
        <f>SUMPRODUCT(B25:B44,$C$2:$C$21)</f>
        <v>100243.18369410103</v>
      </c>
      <c r="C46" s="3">
        <f t="shared" ref="C46:G46" si="7">SUMPRODUCT(C25:C44,$C$2:$C$21)</f>
        <v>100753.15477081152</v>
      </c>
      <c r="D46" s="3">
        <f t="shared" si="7"/>
        <v>46.779654994712473</v>
      </c>
      <c r="E46" s="3">
        <f t="shared" si="7"/>
        <v>-3267.6624000903894</v>
      </c>
      <c r="F46" s="3">
        <f t="shared" si="7"/>
        <v>-3918.749796219407</v>
      </c>
      <c r="G46" s="3">
        <f t="shared" si="7"/>
        <v>100.00000000000001</v>
      </c>
    </row>
    <row r="48" spans="1:7" x14ac:dyDescent="0.25">
      <c r="A48" t="s">
        <v>14</v>
      </c>
    </row>
    <row r="49" spans="1:1" x14ac:dyDescent="0.25">
      <c r="A49" t="s">
        <v>15</v>
      </c>
    </row>
    <row r="50" spans="1:1" x14ac:dyDescent="0.25">
      <c r="A50" t="s">
        <v>16</v>
      </c>
    </row>
    <row r="51" spans="1:1" x14ac:dyDescent="0.25">
      <c r="A51" t="s">
        <v>17</v>
      </c>
    </row>
    <row r="52" spans="1:1" x14ac:dyDescent="0.25">
      <c r="A52" t="s">
        <v>18</v>
      </c>
    </row>
    <row r="53" spans="1:1" x14ac:dyDescent="0.25">
      <c r="A5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2C5B-A36C-489C-8565-B77CB6D3EB54}">
  <dimension ref="A1:L38"/>
  <sheetViews>
    <sheetView workbookViewId="0">
      <selection activeCell="L5" sqref="L5"/>
    </sheetView>
  </sheetViews>
  <sheetFormatPr defaultRowHeight="15" x14ac:dyDescent="0.25"/>
  <cols>
    <col min="9" max="9" width="10.42578125" bestFit="1" customWidth="1"/>
    <col min="11" max="11" width="12.85546875" bestFit="1" customWidth="1"/>
    <col min="12" max="12" width="10.42578125" bestFit="1" customWidth="1"/>
  </cols>
  <sheetData>
    <row r="1" spans="1:12" x14ac:dyDescent="0.25">
      <c r="A1" t="s">
        <v>0</v>
      </c>
      <c r="B1" t="s">
        <v>20</v>
      </c>
      <c r="C1" t="s">
        <v>2</v>
      </c>
      <c r="D1" t="s">
        <v>21</v>
      </c>
      <c r="E1" t="s">
        <v>22</v>
      </c>
      <c r="H1" t="s">
        <v>23</v>
      </c>
      <c r="I1" s="7">
        <v>45198</v>
      </c>
      <c r="K1" t="s">
        <v>58</v>
      </c>
      <c r="L1" s="7">
        <v>45474</v>
      </c>
    </row>
    <row r="2" spans="1:12" x14ac:dyDescent="0.25">
      <c r="A2">
        <v>0</v>
      </c>
      <c r="B2" s="6">
        <v>3.5549999999999998E-2</v>
      </c>
      <c r="C2" s="6">
        <v>1</v>
      </c>
      <c r="D2" s="6">
        <v>3.5549999999999998E-2</v>
      </c>
      <c r="E2" s="6">
        <v>3.5549999999999998E-2</v>
      </c>
      <c r="K2" t="s">
        <v>26</v>
      </c>
      <c r="L2">
        <v>4.6933000000000002E-2</v>
      </c>
    </row>
    <row r="3" spans="1:12" x14ac:dyDescent="0.25">
      <c r="A3">
        <v>1</v>
      </c>
      <c r="B3" s="6">
        <v>3.5534000000000003E-2</v>
      </c>
      <c r="C3" s="6">
        <v>0.96509</v>
      </c>
      <c r="D3" s="6">
        <v>3.5534000000000003E-2</v>
      </c>
      <c r="E3" s="6">
        <v>3.6172999999999997E-2</v>
      </c>
      <c r="K3" t="s">
        <v>25</v>
      </c>
      <c r="L3" s="7">
        <v>45474</v>
      </c>
    </row>
    <row r="4" spans="1:12" x14ac:dyDescent="0.25">
      <c r="A4">
        <v>2</v>
      </c>
      <c r="B4" s="6">
        <v>3.5499000000000003E-2</v>
      </c>
      <c r="C4" s="6">
        <v>0.93146399999999996</v>
      </c>
      <c r="D4" s="6">
        <v>3.5464000000000002E-2</v>
      </c>
      <c r="E4" s="6">
        <v>3.6137000000000002E-2</v>
      </c>
      <c r="K4" t="s">
        <v>24</v>
      </c>
      <c r="L4">
        <v>1</v>
      </c>
    </row>
    <row r="5" spans="1:12" x14ac:dyDescent="0.25">
      <c r="A5">
        <v>3</v>
      </c>
      <c r="B5" s="6">
        <v>3.5445999999999998E-2</v>
      </c>
      <c r="C5" s="6">
        <v>0.89912000000000003</v>
      </c>
      <c r="D5" s="6">
        <v>3.5340000000000003E-2</v>
      </c>
      <c r="E5" s="6">
        <v>3.6083999999999998E-2</v>
      </c>
      <c r="K5" t="s">
        <v>38</v>
      </c>
      <c r="L5" t="s">
        <v>59</v>
      </c>
    </row>
    <row r="6" spans="1:12" x14ac:dyDescent="0.25">
      <c r="A6">
        <v>4</v>
      </c>
      <c r="B6" s="6">
        <v>3.5375999999999998E-2</v>
      </c>
      <c r="C6" s="6">
        <v>0.86805299999999996</v>
      </c>
      <c r="D6" s="6">
        <v>3.5164000000000001E-2</v>
      </c>
      <c r="E6" s="6">
        <v>3.6013999999999997E-2</v>
      </c>
      <c r="K6" s="7">
        <f>L1</f>
        <v>45474</v>
      </c>
      <c r="L6">
        <f>IF(K6&gt;L$3,0,IF(K6=L$3,1+L$2,L$2)*100)</f>
        <v>104.69330000000001</v>
      </c>
    </row>
    <row r="7" spans="1:12" x14ac:dyDescent="0.25">
      <c r="A7">
        <v>5</v>
      </c>
      <c r="B7" s="6">
        <v>3.5288E-2</v>
      </c>
      <c r="C7" s="6">
        <v>0.83825099999999997</v>
      </c>
      <c r="D7" s="6">
        <v>3.4936000000000002E-2</v>
      </c>
      <c r="E7" s="6">
        <v>3.5928000000000002E-2</v>
      </c>
      <c r="K7" s="7">
        <f>DATE(YEAR(K6)+1,MONTH(K6),DAY(K6))</f>
        <v>45839</v>
      </c>
      <c r="L7">
        <f t="shared" ref="L7:L36" si="0">IF(K7&gt;L$3,0,IF(K7=L$3,1+L$2,L$2)*100)</f>
        <v>0</v>
      </c>
    </row>
    <row r="8" spans="1:12" x14ac:dyDescent="0.25">
      <c r="A8">
        <v>6</v>
      </c>
      <c r="B8" s="6">
        <v>3.5182999999999999E-2</v>
      </c>
      <c r="C8" s="6">
        <v>0.80969599999999997</v>
      </c>
      <c r="D8" s="6">
        <v>3.4658000000000001E-2</v>
      </c>
      <c r="E8" s="6">
        <v>3.5826999999999998E-2</v>
      </c>
      <c r="K8" s="7">
        <f t="shared" ref="K8:K36" si="1">DATE(YEAR(K7)+1,MONTH(K7),DAY(K7))</f>
        <v>46204</v>
      </c>
      <c r="L8">
        <f t="shared" si="0"/>
        <v>0</v>
      </c>
    </row>
    <row r="9" spans="1:12" x14ac:dyDescent="0.25">
      <c r="A9">
        <v>7</v>
      </c>
      <c r="B9" s="6">
        <v>3.5061000000000002E-2</v>
      </c>
      <c r="C9" s="6">
        <v>0.78236899999999998</v>
      </c>
      <c r="D9" s="6">
        <v>3.4333000000000002E-2</v>
      </c>
      <c r="E9" s="6">
        <v>3.5712000000000001E-2</v>
      </c>
      <c r="K9" s="7">
        <f t="shared" si="1"/>
        <v>46569</v>
      </c>
      <c r="L9">
        <f t="shared" si="0"/>
        <v>0</v>
      </c>
    </row>
    <row r="10" spans="1:12" x14ac:dyDescent="0.25">
      <c r="A10">
        <v>8</v>
      </c>
      <c r="B10" s="6">
        <v>3.4923999999999997E-2</v>
      </c>
      <c r="C10" s="6">
        <v>0.75624499999999995</v>
      </c>
      <c r="D10" s="6">
        <v>3.3960999999999998E-2</v>
      </c>
      <c r="E10" s="6">
        <v>3.5582999999999997E-2</v>
      </c>
      <c r="K10" s="7">
        <f t="shared" si="1"/>
        <v>46935</v>
      </c>
      <c r="L10">
        <f t="shared" si="0"/>
        <v>0</v>
      </c>
    </row>
    <row r="11" spans="1:12" x14ac:dyDescent="0.25">
      <c r="A11">
        <v>9</v>
      </c>
      <c r="B11" s="6">
        <v>3.4770000000000002E-2</v>
      </c>
      <c r="C11" s="6">
        <v>0.731298</v>
      </c>
      <c r="D11" s="6">
        <v>3.3543999999999997E-2</v>
      </c>
      <c r="E11" s="6">
        <v>3.5441E-2</v>
      </c>
      <c r="K11" s="7">
        <f t="shared" si="1"/>
        <v>47300</v>
      </c>
      <c r="L11">
        <f t="shared" si="0"/>
        <v>0</v>
      </c>
    </row>
    <row r="12" spans="1:12" x14ac:dyDescent="0.25">
      <c r="A12">
        <v>10</v>
      </c>
      <c r="B12" s="6">
        <v>3.4602000000000001E-2</v>
      </c>
      <c r="C12" s="6">
        <v>0.70750100000000005</v>
      </c>
      <c r="D12" s="6">
        <v>3.3083000000000001E-2</v>
      </c>
      <c r="E12" s="6">
        <v>3.5286999999999999E-2</v>
      </c>
      <c r="K12" s="7">
        <f t="shared" si="1"/>
        <v>47665</v>
      </c>
      <c r="L12">
        <f t="shared" si="0"/>
        <v>0</v>
      </c>
    </row>
    <row r="13" spans="1:12" x14ac:dyDescent="0.25">
      <c r="A13">
        <v>11</v>
      </c>
      <c r="B13" s="6">
        <v>3.4417999999999997E-2</v>
      </c>
      <c r="C13" s="6">
        <v>0.68482100000000001</v>
      </c>
      <c r="D13" s="6">
        <v>3.2579999999999998E-2</v>
      </c>
      <c r="E13" s="6">
        <v>3.5122E-2</v>
      </c>
      <c r="K13" s="7">
        <f t="shared" si="1"/>
        <v>48030</v>
      </c>
      <c r="L13">
        <f t="shared" si="0"/>
        <v>0</v>
      </c>
    </row>
    <row r="14" spans="1:12" x14ac:dyDescent="0.25">
      <c r="A14">
        <v>12</v>
      </c>
      <c r="B14" s="6">
        <v>3.422E-2</v>
      </c>
      <c r="C14" s="6">
        <v>0.66322999999999999</v>
      </c>
      <c r="D14" s="6">
        <v>3.2037000000000003E-2</v>
      </c>
      <c r="E14" s="6">
        <v>3.4944999999999997E-2</v>
      </c>
      <c r="K14" s="7">
        <f t="shared" si="1"/>
        <v>48396</v>
      </c>
      <c r="L14">
        <f t="shared" si="0"/>
        <v>0</v>
      </c>
    </row>
    <row r="15" spans="1:12" x14ac:dyDescent="0.25">
      <c r="A15">
        <v>13</v>
      </c>
      <c r="B15" s="6">
        <v>3.4007000000000003E-2</v>
      </c>
      <c r="C15" s="6">
        <v>0.64269299999999996</v>
      </c>
      <c r="D15" s="6">
        <v>3.1454000000000003E-2</v>
      </c>
      <c r="E15" s="6">
        <v>3.4757999999999997E-2</v>
      </c>
      <c r="K15" s="7">
        <f t="shared" si="1"/>
        <v>48761</v>
      </c>
      <c r="L15">
        <f t="shared" si="0"/>
        <v>0</v>
      </c>
    </row>
    <row r="16" spans="1:12" x14ac:dyDescent="0.25">
      <c r="A16">
        <v>14</v>
      </c>
      <c r="B16" s="6">
        <v>3.3779999999999998E-2</v>
      </c>
      <c r="C16" s="6">
        <v>0.62317999999999996</v>
      </c>
      <c r="D16" s="6">
        <v>3.0831999999999998E-2</v>
      </c>
      <c r="E16" s="6">
        <v>3.4561000000000001E-2</v>
      </c>
      <c r="K16" s="7">
        <f t="shared" si="1"/>
        <v>49126</v>
      </c>
      <c r="L16">
        <f t="shared" si="0"/>
        <v>0</v>
      </c>
    </row>
    <row r="17" spans="1:12" x14ac:dyDescent="0.25">
      <c r="A17">
        <v>15</v>
      </c>
      <c r="B17" s="6">
        <v>3.354E-2</v>
      </c>
      <c r="C17" s="6">
        <v>0.604657</v>
      </c>
      <c r="D17" s="6">
        <v>3.0173999999999999E-2</v>
      </c>
      <c r="E17" s="6">
        <v>3.4354999999999997E-2</v>
      </c>
      <c r="K17" s="7">
        <f t="shared" si="1"/>
        <v>49491</v>
      </c>
      <c r="L17">
        <f t="shared" si="0"/>
        <v>0</v>
      </c>
    </row>
    <row r="18" spans="1:12" x14ac:dyDescent="0.25">
      <c r="A18">
        <v>16</v>
      </c>
      <c r="B18" s="6">
        <v>3.3286000000000003E-2</v>
      </c>
      <c r="C18" s="6">
        <v>0.58709199999999995</v>
      </c>
      <c r="D18" s="6">
        <v>2.9479999999999999E-2</v>
      </c>
      <c r="E18" s="6">
        <v>3.4139000000000003E-2</v>
      </c>
      <c r="K18" s="7">
        <f t="shared" si="1"/>
        <v>49857</v>
      </c>
      <c r="L18">
        <f t="shared" si="0"/>
        <v>0</v>
      </c>
    </row>
    <row r="19" spans="1:12" x14ac:dyDescent="0.25">
      <c r="A19">
        <v>17</v>
      </c>
      <c r="B19" s="6">
        <v>3.3019E-2</v>
      </c>
      <c r="C19" s="6">
        <v>0.57045199999999996</v>
      </c>
      <c r="D19" s="6">
        <v>2.8752E-2</v>
      </c>
      <c r="E19" s="6">
        <v>3.3916000000000002E-2</v>
      </c>
      <c r="K19" s="7">
        <f t="shared" si="1"/>
        <v>50222</v>
      </c>
      <c r="L19">
        <f t="shared" si="0"/>
        <v>0</v>
      </c>
    </row>
    <row r="20" spans="1:12" x14ac:dyDescent="0.25">
      <c r="A20">
        <v>18</v>
      </c>
      <c r="B20" s="6">
        <v>3.2739999999999998E-2</v>
      </c>
      <c r="C20" s="6">
        <v>0.55470600000000003</v>
      </c>
      <c r="D20" s="6">
        <v>2.7990000000000001E-2</v>
      </c>
      <c r="E20" s="6">
        <v>3.3683999999999999E-2</v>
      </c>
      <c r="K20" s="7">
        <f t="shared" si="1"/>
        <v>50587</v>
      </c>
      <c r="L20">
        <f t="shared" si="0"/>
        <v>0</v>
      </c>
    </row>
    <row r="21" spans="1:12" x14ac:dyDescent="0.25">
      <c r="A21">
        <v>19</v>
      </c>
      <c r="B21" s="6">
        <v>3.2447999999999998E-2</v>
      </c>
      <c r="C21" s="6">
        <v>0.53982399999999997</v>
      </c>
      <c r="D21" s="6">
        <v>2.7196999999999999E-2</v>
      </c>
      <c r="E21" s="6">
        <v>3.3444000000000002E-2</v>
      </c>
      <c r="K21" s="7">
        <f t="shared" si="1"/>
        <v>50952</v>
      </c>
      <c r="L21">
        <f t="shared" si="0"/>
        <v>0</v>
      </c>
    </row>
    <row r="22" spans="1:12" x14ac:dyDescent="0.25">
      <c r="A22">
        <v>20</v>
      </c>
      <c r="B22" s="6">
        <v>3.2143999999999999E-2</v>
      </c>
      <c r="C22" s="6">
        <v>0.52577399999999996</v>
      </c>
      <c r="D22" s="6">
        <v>2.6372E-2</v>
      </c>
      <c r="E22" s="6">
        <v>3.3196000000000003E-2</v>
      </c>
      <c r="K22" s="7">
        <f t="shared" si="1"/>
        <v>51318</v>
      </c>
      <c r="L22">
        <f t="shared" si="0"/>
        <v>0</v>
      </c>
    </row>
    <row r="23" spans="1:12" x14ac:dyDescent="0.25">
      <c r="A23">
        <v>21</v>
      </c>
      <c r="B23" s="6">
        <v>3.1829000000000003E-2</v>
      </c>
      <c r="C23" s="6">
        <v>0.51252699999999995</v>
      </c>
      <c r="D23" s="6">
        <v>2.5517000000000001E-2</v>
      </c>
      <c r="E23" s="6">
        <v>3.2941999999999999E-2</v>
      </c>
      <c r="K23" s="7">
        <f t="shared" si="1"/>
        <v>51683</v>
      </c>
      <c r="L23">
        <f t="shared" si="0"/>
        <v>0</v>
      </c>
    </row>
    <row r="24" spans="1:12" x14ac:dyDescent="0.25">
      <c r="A24">
        <v>22</v>
      </c>
      <c r="B24" s="6">
        <v>3.1502000000000002E-2</v>
      </c>
      <c r="C24" s="6">
        <v>0.50005599999999994</v>
      </c>
      <c r="D24" s="6">
        <v>2.4634E-2</v>
      </c>
      <c r="E24" s="6">
        <v>3.2680000000000001E-2</v>
      </c>
      <c r="K24" s="7">
        <f t="shared" si="1"/>
        <v>52048</v>
      </c>
      <c r="L24">
        <f t="shared" si="0"/>
        <v>0</v>
      </c>
    </row>
    <row r="25" spans="1:12" x14ac:dyDescent="0.25">
      <c r="A25">
        <v>23</v>
      </c>
      <c r="B25" s="6">
        <v>3.1163E-2</v>
      </c>
      <c r="C25" s="6">
        <v>0.48833300000000002</v>
      </c>
      <c r="D25" s="6">
        <v>2.3723000000000001E-2</v>
      </c>
      <c r="E25" s="6">
        <v>3.2412000000000003E-2</v>
      </c>
      <c r="K25" s="7">
        <f t="shared" si="1"/>
        <v>52413</v>
      </c>
      <c r="L25">
        <f t="shared" si="0"/>
        <v>0</v>
      </c>
    </row>
    <row r="26" spans="1:12" x14ac:dyDescent="0.25">
      <c r="A26">
        <v>24</v>
      </c>
      <c r="B26" s="6">
        <v>3.0814000000000001E-2</v>
      </c>
      <c r="C26" s="6">
        <v>0.47733199999999998</v>
      </c>
      <c r="D26" s="6">
        <v>2.2785E-2</v>
      </c>
      <c r="E26" s="6">
        <v>3.2136999999999999E-2</v>
      </c>
      <c r="K26" s="7">
        <f t="shared" si="1"/>
        <v>52779</v>
      </c>
      <c r="L26">
        <f t="shared" si="0"/>
        <v>0</v>
      </c>
    </row>
    <row r="27" spans="1:12" x14ac:dyDescent="0.25">
      <c r="A27">
        <v>25</v>
      </c>
      <c r="B27" s="6">
        <v>3.0454999999999999E-2</v>
      </c>
      <c r="C27" s="6">
        <v>0.46702900000000003</v>
      </c>
      <c r="D27" s="6">
        <v>2.1821E-2</v>
      </c>
      <c r="E27" s="6">
        <v>3.1856000000000002E-2</v>
      </c>
      <c r="K27" s="7">
        <f t="shared" si="1"/>
        <v>53144</v>
      </c>
      <c r="L27">
        <f t="shared" si="0"/>
        <v>0</v>
      </c>
    </row>
    <row r="28" spans="1:12" x14ac:dyDescent="0.25">
      <c r="A28">
        <v>26</v>
      </c>
      <c r="B28" s="6">
        <v>3.0084E-2</v>
      </c>
      <c r="C28" s="6">
        <v>0.45739999999999997</v>
      </c>
      <c r="D28" s="6">
        <v>2.0833000000000001E-2</v>
      </c>
      <c r="E28" s="6">
        <v>3.1567999999999999E-2</v>
      </c>
      <c r="K28" s="7">
        <f t="shared" si="1"/>
        <v>53509</v>
      </c>
      <c r="L28">
        <f t="shared" si="0"/>
        <v>0</v>
      </c>
    </row>
    <row r="29" spans="1:12" x14ac:dyDescent="0.25">
      <c r="A29">
        <v>27</v>
      </c>
      <c r="B29" s="6">
        <v>2.9704000000000001E-2</v>
      </c>
      <c r="C29" s="6">
        <v>0.44842300000000002</v>
      </c>
      <c r="D29" s="6">
        <v>1.9820000000000001E-2</v>
      </c>
      <c r="E29" s="6">
        <v>3.1274999999999997E-2</v>
      </c>
      <c r="K29" s="7">
        <f t="shared" si="1"/>
        <v>53874</v>
      </c>
      <c r="L29">
        <f t="shared" si="0"/>
        <v>0</v>
      </c>
    </row>
    <row r="30" spans="1:12" x14ac:dyDescent="0.25">
      <c r="A30">
        <v>28</v>
      </c>
      <c r="B30" s="6">
        <v>2.9314E-2</v>
      </c>
      <c r="C30" s="6">
        <v>0.44007800000000002</v>
      </c>
      <c r="D30" s="6">
        <v>1.8785E-2</v>
      </c>
      <c r="E30" s="6">
        <v>3.0974999999999999E-2</v>
      </c>
      <c r="K30" s="7">
        <f t="shared" si="1"/>
        <v>54240</v>
      </c>
      <c r="L30">
        <f t="shared" si="0"/>
        <v>0</v>
      </c>
    </row>
    <row r="31" spans="1:12" x14ac:dyDescent="0.25">
      <c r="A31">
        <v>29</v>
      </c>
      <c r="B31" s="6">
        <v>2.8915E-2</v>
      </c>
      <c r="C31" s="6">
        <v>0.43234499999999998</v>
      </c>
      <c r="D31" s="6">
        <v>1.7728000000000001E-2</v>
      </c>
      <c r="E31" s="6">
        <v>3.0668999999999998E-2</v>
      </c>
      <c r="K31" s="7">
        <f t="shared" si="1"/>
        <v>54605</v>
      </c>
      <c r="L31">
        <f t="shared" si="0"/>
        <v>0</v>
      </c>
    </row>
    <row r="32" spans="1:12" x14ac:dyDescent="0.25">
      <c r="A32">
        <v>30</v>
      </c>
      <c r="B32" s="6">
        <v>2.8506E-2</v>
      </c>
      <c r="C32" s="6">
        <v>0.425207</v>
      </c>
      <c r="D32" s="6">
        <v>1.6650000000000002E-2</v>
      </c>
      <c r="E32" s="6">
        <v>3.0356999999999999E-2</v>
      </c>
      <c r="K32" s="7">
        <f t="shared" si="1"/>
        <v>54970</v>
      </c>
      <c r="L32">
        <f t="shared" si="0"/>
        <v>0</v>
      </c>
    </row>
    <row r="33" spans="11:12" x14ac:dyDescent="0.25">
      <c r="K33" s="7">
        <f t="shared" si="1"/>
        <v>55335</v>
      </c>
      <c r="L33">
        <f t="shared" si="0"/>
        <v>0</v>
      </c>
    </row>
    <row r="34" spans="11:12" x14ac:dyDescent="0.25">
      <c r="K34" s="7">
        <f t="shared" si="1"/>
        <v>55701</v>
      </c>
      <c r="L34">
        <f t="shared" si="0"/>
        <v>0</v>
      </c>
    </row>
    <row r="35" spans="11:12" x14ac:dyDescent="0.25">
      <c r="K35" s="7">
        <f t="shared" si="1"/>
        <v>56066</v>
      </c>
      <c r="L35">
        <f t="shared" si="0"/>
        <v>0</v>
      </c>
    </row>
    <row r="36" spans="11:12" x14ac:dyDescent="0.25">
      <c r="K36" s="7">
        <f t="shared" si="1"/>
        <v>56431</v>
      </c>
      <c r="L36">
        <f t="shared" si="0"/>
        <v>0</v>
      </c>
    </row>
    <row r="38" spans="11:12" x14ac:dyDescent="0.25">
      <c r="K3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B97A-EFA8-4F3C-B4C5-2928A47A2EEE}">
  <dimension ref="A1:AE100"/>
  <sheetViews>
    <sheetView workbookViewId="0">
      <selection activeCell="D8" sqref="D8"/>
    </sheetView>
  </sheetViews>
  <sheetFormatPr defaultRowHeight="15" x14ac:dyDescent="0.25"/>
  <cols>
    <col min="1" max="1" width="10.42578125" bestFit="1" customWidth="1"/>
    <col min="9" max="9" width="10.42578125" bestFit="1" customWidth="1"/>
    <col min="11" max="11" width="12.85546875" bestFit="1" customWidth="1"/>
    <col min="12" max="12" width="10.42578125" bestFit="1" customWidth="1"/>
    <col min="13" max="14" width="10.42578125" customWidth="1"/>
    <col min="15" max="15" width="10.42578125" bestFit="1" customWidth="1"/>
    <col min="16" max="17" width="10.42578125" customWidth="1"/>
    <col min="18" max="18" width="10.42578125" bestFit="1" customWidth="1"/>
    <col min="19" max="20" width="10.42578125" customWidth="1"/>
    <col min="21" max="21" width="10.42578125" bestFit="1" customWidth="1"/>
    <col min="22" max="23" width="10.42578125" customWidth="1"/>
    <col min="24" max="24" width="10.42578125" bestFit="1" customWidth="1"/>
    <col min="25" max="26" width="10.42578125" customWidth="1"/>
    <col min="27" max="27" width="10.42578125" bestFit="1" customWidth="1"/>
    <col min="28" max="29" width="10.42578125" customWidth="1"/>
    <col min="30" max="30" width="10.42578125" bestFit="1" customWidth="1"/>
  </cols>
  <sheetData>
    <row r="1" spans="1:31" x14ac:dyDescent="0.25">
      <c r="A1" t="s">
        <v>64</v>
      </c>
      <c r="B1" s="13">
        <v>1.0172189450599899E-2</v>
      </c>
      <c r="H1" t="s">
        <v>23</v>
      </c>
      <c r="I1" s="7">
        <v>45200</v>
      </c>
      <c r="K1" t="s">
        <v>58</v>
      </c>
      <c r="L1" s="7">
        <v>45474</v>
      </c>
      <c r="M1" s="7"/>
      <c r="O1" s="7">
        <v>45474</v>
      </c>
      <c r="P1" s="7"/>
      <c r="R1" s="7">
        <v>45551</v>
      </c>
      <c r="S1" s="7"/>
      <c r="U1" s="7">
        <v>45245</v>
      </c>
      <c r="V1" s="7"/>
      <c r="X1" s="7">
        <v>45245</v>
      </c>
      <c r="Y1" s="7"/>
      <c r="AA1" s="7">
        <v>45245</v>
      </c>
      <c r="AB1" s="7"/>
      <c r="AD1" s="7">
        <v>45245</v>
      </c>
    </row>
    <row r="2" spans="1:31" x14ac:dyDescent="0.25">
      <c r="A2" t="s">
        <v>65</v>
      </c>
      <c r="B2" s="13">
        <v>3.4221073094520403E-2</v>
      </c>
      <c r="K2" t="s">
        <v>26</v>
      </c>
      <c r="L2">
        <v>4.6933000000000002E-2</v>
      </c>
      <c r="O2">
        <v>4.5133E-2</v>
      </c>
      <c r="R2">
        <v>5.8867000000000003E-2</v>
      </c>
      <c r="U2">
        <v>1.7500000000000002E-2</v>
      </c>
      <c r="X2">
        <v>2.5000000000000001E-3</v>
      </c>
      <c r="AA2">
        <v>2.2499999999999999E-2</v>
      </c>
      <c r="AD2">
        <v>5.0000000000000001E-3</v>
      </c>
    </row>
    <row r="3" spans="1:31" x14ac:dyDescent="0.25">
      <c r="A3" t="s">
        <v>66</v>
      </c>
      <c r="B3" s="13">
        <v>7.55887677064621E-3</v>
      </c>
      <c r="K3" t="s">
        <v>25</v>
      </c>
      <c r="L3" s="7">
        <v>45474</v>
      </c>
      <c r="M3" s="7"/>
      <c r="N3" s="7"/>
      <c r="O3" s="7">
        <v>45839</v>
      </c>
      <c r="P3" s="7"/>
      <c r="Q3" s="7"/>
      <c r="R3" s="7">
        <v>46646</v>
      </c>
      <c r="S3" s="7"/>
      <c r="T3" s="7"/>
      <c r="U3" s="7">
        <v>45976</v>
      </c>
      <c r="V3" s="7"/>
      <c r="W3" s="7"/>
      <c r="X3" s="7">
        <v>55838</v>
      </c>
      <c r="Y3" s="7"/>
      <c r="Z3" s="7"/>
      <c r="AA3" s="7">
        <v>48898</v>
      </c>
      <c r="AB3" s="7"/>
      <c r="AC3" s="7"/>
      <c r="AD3" s="7">
        <v>47437</v>
      </c>
    </row>
    <row r="4" spans="1:31" x14ac:dyDescent="0.25">
      <c r="A4" t="s">
        <v>67</v>
      </c>
      <c r="B4" s="13">
        <v>3.5549999999999998E-2</v>
      </c>
      <c r="K4" t="s">
        <v>24</v>
      </c>
      <c r="L4">
        <v>1</v>
      </c>
      <c r="O4">
        <v>2</v>
      </c>
      <c r="R4">
        <v>3</v>
      </c>
      <c r="U4">
        <v>4</v>
      </c>
      <c r="X4">
        <v>5</v>
      </c>
      <c r="AA4">
        <v>6</v>
      </c>
      <c r="AD4">
        <v>7</v>
      </c>
    </row>
    <row r="5" spans="1:31" x14ac:dyDescent="0.25">
      <c r="B5" s="13"/>
      <c r="K5" t="s">
        <v>38</v>
      </c>
      <c r="L5" t="s">
        <v>59</v>
      </c>
      <c r="M5" t="s">
        <v>68</v>
      </c>
      <c r="N5" t="s">
        <v>38</v>
      </c>
      <c r="O5" t="s">
        <v>59</v>
      </c>
      <c r="P5" t="s">
        <v>68</v>
      </c>
      <c r="Q5" t="s">
        <v>38</v>
      </c>
      <c r="R5" t="s">
        <v>59</v>
      </c>
      <c r="S5" t="s">
        <v>68</v>
      </c>
      <c r="T5" t="s">
        <v>38</v>
      </c>
      <c r="U5" t="s">
        <v>59</v>
      </c>
      <c r="V5" t="s">
        <v>68</v>
      </c>
      <c r="W5" t="s">
        <v>38</v>
      </c>
      <c r="X5" t="s">
        <v>59</v>
      </c>
      <c r="Y5" t="s">
        <v>68</v>
      </c>
      <c r="Z5" t="s">
        <v>38</v>
      </c>
      <c r="AA5" t="s">
        <v>59</v>
      </c>
      <c r="AB5" t="s">
        <v>68</v>
      </c>
      <c r="AC5" t="s">
        <v>38</v>
      </c>
      <c r="AD5" t="s">
        <v>59</v>
      </c>
      <c r="AE5" t="s">
        <v>68</v>
      </c>
    </row>
    <row r="6" spans="1:31" x14ac:dyDescent="0.25">
      <c r="K6" s="7">
        <f>L1</f>
        <v>45474</v>
      </c>
      <c r="L6">
        <f>IF(K6&gt;L$3,0,IF(K6=L$3,1+L$2,L$2)*100)</f>
        <v>104.69330000000001</v>
      </c>
      <c r="M6" s="5">
        <f>L6*VLOOKUP(K6,$A$7:$D$100,4,0)</f>
        <v>100.72576774708051</v>
      </c>
      <c r="N6" s="7">
        <f>O1</f>
        <v>45474</v>
      </c>
      <c r="O6">
        <f>IF(N6&gt;O$3,0,IF(N6=O$3,1+O$2,O$2)*100)</f>
        <v>4.5133000000000001</v>
      </c>
      <c r="P6" s="5">
        <f>O6*VLOOKUP(N6,$A$7:$D$100,4,0)</f>
        <v>4.3422607518618523</v>
      </c>
      <c r="Q6" s="7">
        <f>R1</f>
        <v>45551</v>
      </c>
      <c r="R6">
        <f>IF(Q6&gt;R$3,0,IF(Q6=R$3,1+R$2,R$2)*100)</f>
        <v>5.8867000000000003</v>
      </c>
      <c r="S6" s="5">
        <f>R6*VLOOKUP(Q6,$A$7:$D$100,4,0)</f>
        <v>5.602528477519602</v>
      </c>
      <c r="T6" s="7">
        <f>U1</f>
        <v>45245</v>
      </c>
      <c r="U6">
        <f>IF(T6&gt;U$3,0,IF(T6=U$3,1+U$2,U$2)*100)</f>
        <v>1.7500000000000002</v>
      </c>
      <c r="V6" s="5">
        <f>U6*VLOOKUP(T6,$A$7:$D$100,4,0)</f>
        <v>1.7389262815774227</v>
      </c>
      <c r="W6" s="7">
        <f>X1</f>
        <v>45245</v>
      </c>
      <c r="X6">
        <f>IF(W6&gt;X$3,0,IF(W6=X$3,1+X$2,X$2)*100)</f>
        <v>0.25</v>
      </c>
      <c r="Y6" s="5">
        <f>X6*VLOOKUP(W6,$A$7:$D$100,4,0)</f>
        <v>0.24841804022534608</v>
      </c>
      <c r="Z6" s="7">
        <f>AA1</f>
        <v>45245</v>
      </c>
      <c r="AA6">
        <f>IF(Z6&gt;AA$3,0,IF(Z6=AA$3,1+AA$2,AA$2)*100)</f>
        <v>2.25</v>
      </c>
      <c r="AB6" s="5">
        <f>AA6*VLOOKUP(Z6,$A$7:$D$100,4,0)</f>
        <v>2.2357623620281148</v>
      </c>
      <c r="AC6" s="7">
        <f>AD1</f>
        <v>45245</v>
      </c>
      <c r="AD6">
        <f>IF(AC6&gt;AD$3,0,IF(AC6=AD$3,1+AD$2,AD$2)*100)</f>
        <v>0.5</v>
      </c>
      <c r="AE6" s="5">
        <f>AD6*VLOOKUP(AC6,$A$7:$D$100,4,0)</f>
        <v>0.49683608045069216</v>
      </c>
    </row>
    <row r="7" spans="1:31" x14ac:dyDescent="0.25">
      <c r="A7" t="s">
        <v>60</v>
      </c>
      <c r="B7" t="s">
        <v>61</v>
      </c>
      <c r="C7" t="s">
        <v>62</v>
      </c>
      <c r="D7" t="s">
        <v>63</v>
      </c>
      <c r="K7" s="7">
        <f>DATE(YEAR(K6)+1,MONTH(K6),DAY(K6))</f>
        <v>45839</v>
      </c>
      <c r="L7">
        <f t="shared" ref="L7:L22" si="0">IF(K7&gt;L$3,0,IF(K7=L$3,1+L$2,L$2)*100)</f>
        <v>0</v>
      </c>
      <c r="M7" s="5">
        <f>L7*VLOOKUP(K7,$A$7:$D$100,4,0)</f>
        <v>0</v>
      </c>
      <c r="N7" s="7">
        <f>DATE(YEAR(N6)+1,MONTH(N6),DAY(N6))</f>
        <v>45839</v>
      </c>
      <c r="O7">
        <f t="shared" ref="O7:O36" si="1">IF(N7&gt;O$3,0,IF(N7=O$3,1+O$2,O$2)*100)</f>
        <v>104.51330000000002</v>
      </c>
      <c r="P7" s="5">
        <f>O7*VLOOKUP(N7,$A$7:$D$100,4,0)</f>
        <v>95.522810794805935</v>
      </c>
      <c r="Q7" s="7">
        <f>DATE(YEAR(Q6)+1,MONTH(Q6),DAY(Q6))</f>
        <v>45916</v>
      </c>
      <c r="R7">
        <f t="shared" ref="R7:R36" si="2">IF(Q7&gt;R$3,0,IF(Q7=R$3,1+R$2,R$2)*100)</f>
        <v>5.8867000000000003</v>
      </c>
      <c r="S7" s="5">
        <f>R7*VLOOKUP(Q7,$A$7:$D$100,4,0)</f>
        <v>5.3225697450922995</v>
      </c>
      <c r="T7" s="7">
        <f>DATE(YEAR(T6)+1,MONTH(T6),DAY(T6))</f>
        <v>45611</v>
      </c>
      <c r="U7">
        <f t="shared" ref="U7:U36" si="3">IF(T7&gt;U$3,0,IF(T7=U$3,1+U$2,U$2)*100)</f>
        <v>1.7500000000000002</v>
      </c>
      <c r="V7" s="5">
        <f>U7*VLOOKUP(T7,$A$7:$D$100,4,0)</f>
        <v>1.6515167594733728</v>
      </c>
      <c r="W7" s="7">
        <f>DATE(YEAR(W6)+1,MONTH(W6),DAY(W6))</f>
        <v>45611</v>
      </c>
      <c r="X7">
        <f t="shared" ref="X7:X36" si="4">IF(W7&gt;X$3,0,IF(W7=X$3,1+X$2,X$2)*100)</f>
        <v>0.25</v>
      </c>
      <c r="Y7" s="5">
        <f>X7*VLOOKUP(W7,$A$7:$D$100,4,0)</f>
        <v>0.23593096563905322</v>
      </c>
      <c r="Z7" s="7">
        <f>DATE(YEAR(Z6)+1,MONTH(Z6),DAY(Z6))</f>
        <v>45611</v>
      </c>
      <c r="AA7">
        <f t="shared" ref="AA7:AA36" si="5">IF(Z7&gt;AA$3,0,IF(Z7=AA$3,1+AA$2,AA$2)*100)</f>
        <v>2.25</v>
      </c>
      <c r="AB7" s="5">
        <f>AA7*VLOOKUP(Z7,$A$7:$D$100,4,0)</f>
        <v>2.1233786907514789</v>
      </c>
      <c r="AC7" s="7">
        <f>DATE(YEAR(AC6)+1,MONTH(AC6),DAY(AC6))</f>
        <v>45611</v>
      </c>
      <c r="AD7">
        <f t="shared" ref="AD7:AD36" si="6">IF(AC7&gt;AD$3,0,IF(AC7=AD$3,1+AD$2,AD$2)*100)</f>
        <v>0.5</v>
      </c>
      <c r="AE7" s="5">
        <f>AD7*VLOOKUP(AC7,$A$7:$D$100,4,0)</f>
        <v>0.47186193127810644</v>
      </c>
    </row>
    <row r="8" spans="1:31" x14ac:dyDescent="0.25">
      <c r="A8" s="7">
        <v>45245</v>
      </c>
      <c r="B8">
        <f>EXP((C8-(A8-$I$1)/252)*($B$1^2*$B$2-$B$3^2/2)/($B$1^2)-$B$3^2*C8^2/(4*$B$1))</f>
        <v>0.99999450740981621</v>
      </c>
      <c r="C8">
        <f>(1-EXP(-$B$1*(A8-$I$1)/252))/$B$1</f>
        <v>0.17840934258428595</v>
      </c>
      <c r="D8">
        <f>B8*EXP(-C8*$B$4)</f>
        <v>0.99367216090138433</v>
      </c>
      <c r="K8" s="7">
        <f t="shared" ref="K8:AC36" si="7">DATE(YEAR(K7)+1,MONTH(K7),DAY(K7))</f>
        <v>46204</v>
      </c>
      <c r="L8">
        <f t="shared" si="0"/>
        <v>0</v>
      </c>
      <c r="M8" s="5">
        <f t="shared" ref="M8:M36" si="8">L8*VLOOKUP(K8,$A$7:$D$100,4,0)</f>
        <v>0</v>
      </c>
      <c r="N8" s="7">
        <f t="shared" si="7"/>
        <v>46204</v>
      </c>
      <c r="O8">
        <f t="shared" si="1"/>
        <v>0</v>
      </c>
      <c r="P8" s="5">
        <f t="shared" ref="P8:P36" si="9">O8*VLOOKUP(N8,$A$7:$D$100,4,0)</f>
        <v>0</v>
      </c>
      <c r="Q8" s="7">
        <f t="shared" si="7"/>
        <v>46281</v>
      </c>
      <c r="R8">
        <f t="shared" si="2"/>
        <v>5.8867000000000003</v>
      </c>
      <c r="S8" s="5">
        <f t="shared" ref="S8:S36" si="10">R8*VLOOKUP(Q8,$A$7:$D$100,4,0)</f>
        <v>5.058386322945414</v>
      </c>
      <c r="T8" s="7">
        <f t="shared" si="7"/>
        <v>45976</v>
      </c>
      <c r="U8">
        <f t="shared" si="3"/>
        <v>101.75</v>
      </c>
      <c r="V8" s="5">
        <f t="shared" ref="V8:V36" si="11">U8*VLOOKUP(T8,$A$7:$D$100,4,0)</f>
        <v>91.229877859400901</v>
      </c>
      <c r="W8" s="7">
        <f t="shared" si="7"/>
        <v>45976</v>
      </c>
      <c r="X8">
        <f t="shared" si="4"/>
        <v>0.25</v>
      </c>
      <c r="Y8" s="5">
        <f t="shared" ref="Y8:Y36" si="12">X8*VLOOKUP(W8,$A$7:$D$100,4,0)</f>
        <v>0.22415203405258205</v>
      </c>
      <c r="Z8" s="7">
        <f t="shared" si="7"/>
        <v>45976</v>
      </c>
      <c r="AA8">
        <f t="shared" si="5"/>
        <v>2.25</v>
      </c>
      <c r="AB8" s="5">
        <f t="shared" ref="AB8:AB36" si="13">AA8*VLOOKUP(Z8,$A$7:$D$100,4,0)</f>
        <v>2.0173683064732386</v>
      </c>
      <c r="AC8" s="7">
        <f t="shared" si="7"/>
        <v>45976</v>
      </c>
      <c r="AD8">
        <f t="shared" si="6"/>
        <v>0.5</v>
      </c>
      <c r="AE8" s="5">
        <f t="shared" ref="AE8:AE36" si="14">AD8*VLOOKUP(AC8,$A$7:$D$100,4,0)</f>
        <v>0.4483040681051641</v>
      </c>
    </row>
    <row r="9" spans="1:31" x14ac:dyDescent="0.25">
      <c r="A9" s="7">
        <v>45474</v>
      </c>
      <c r="B9">
        <f t="shared" ref="B9:B72" si="15">EXP((C9-(A9-$I$1)/252)*($B$1^2*$B$2-$B$3^2/2)/($B$1^2)-$B$3^2*C9^2/(4*$B$1))</f>
        <v>0.99980714687111505</v>
      </c>
      <c r="C9">
        <f t="shared" ref="C9:C72" si="16">(1-EXP(-$B$1*(A9-$I$1)/252))/$B$1</f>
        <v>1.0813107871781882</v>
      </c>
      <c r="D9">
        <f t="shared" ref="D9:D72" si="17">B9*EXP(-C9*$B$4)</f>
        <v>0.96210328404091283</v>
      </c>
      <c r="K9" s="7">
        <f t="shared" si="7"/>
        <v>46569</v>
      </c>
      <c r="L9">
        <f t="shared" si="0"/>
        <v>0</v>
      </c>
      <c r="M9" s="5">
        <f t="shared" si="8"/>
        <v>0</v>
      </c>
      <c r="N9" s="7">
        <f t="shared" si="7"/>
        <v>46569</v>
      </c>
      <c r="O9">
        <f t="shared" si="1"/>
        <v>0</v>
      </c>
      <c r="P9" s="5">
        <f t="shared" si="9"/>
        <v>0</v>
      </c>
      <c r="Q9" s="7">
        <f t="shared" si="7"/>
        <v>46646</v>
      </c>
      <c r="R9">
        <f t="shared" si="2"/>
        <v>105.8867</v>
      </c>
      <c r="S9" s="5">
        <f t="shared" si="10"/>
        <v>86.515287733758356</v>
      </c>
      <c r="T9" s="7">
        <f t="shared" si="7"/>
        <v>46341</v>
      </c>
      <c r="U9">
        <f t="shared" si="3"/>
        <v>0</v>
      </c>
      <c r="V9" s="5">
        <f t="shared" si="11"/>
        <v>0</v>
      </c>
      <c r="W9" s="7">
        <f t="shared" si="7"/>
        <v>46341</v>
      </c>
      <c r="X9">
        <f t="shared" si="4"/>
        <v>0.25</v>
      </c>
      <c r="Y9" s="5">
        <f t="shared" si="12"/>
        <v>0.21304191361706831</v>
      </c>
      <c r="Z9" s="7">
        <f t="shared" si="7"/>
        <v>46341</v>
      </c>
      <c r="AA9">
        <f t="shared" si="5"/>
        <v>2.25</v>
      </c>
      <c r="AB9" s="5">
        <f t="shared" si="13"/>
        <v>1.9173772225536148</v>
      </c>
      <c r="AC9" s="7">
        <f t="shared" si="7"/>
        <v>46341</v>
      </c>
      <c r="AD9">
        <f t="shared" si="6"/>
        <v>0.5</v>
      </c>
      <c r="AE9" s="5">
        <f t="shared" si="14"/>
        <v>0.42608382723413663</v>
      </c>
    </row>
    <row r="10" spans="1:31" x14ac:dyDescent="0.25">
      <c r="A10" s="7">
        <v>45551</v>
      </c>
      <c r="B10">
        <f t="shared" si="15"/>
        <v>0.99968942924418236</v>
      </c>
      <c r="C10">
        <f t="shared" si="16"/>
        <v>1.383036296223332</v>
      </c>
      <c r="D10">
        <f t="shared" si="17"/>
        <v>0.9517265152835378</v>
      </c>
      <c r="K10" s="7">
        <f t="shared" si="7"/>
        <v>46935</v>
      </c>
      <c r="L10">
        <f t="shared" si="0"/>
        <v>0</v>
      </c>
      <c r="M10" s="5">
        <f t="shared" si="8"/>
        <v>0</v>
      </c>
      <c r="N10" s="7">
        <f t="shared" si="7"/>
        <v>46935</v>
      </c>
      <c r="O10">
        <f t="shared" si="1"/>
        <v>0</v>
      </c>
      <c r="P10" s="5">
        <f t="shared" si="9"/>
        <v>0</v>
      </c>
      <c r="Q10" s="7">
        <f t="shared" si="7"/>
        <v>47012</v>
      </c>
      <c r="R10">
        <f t="shared" si="2"/>
        <v>0</v>
      </c>
      <c r="S10" s="5">
        <f t="shared" si="10"/>
        <v>0</v>
      </c>
      <c r="T10" s="7">
        <f t="shared" si="7"/>
        <v>46706</v>
      </c>
      <c r="U10">
        <f t="shared" si="3"/>
        <v>0</v>
      </c>
      <c r="V10" s="5">
        <f t="shared" si="11"/>
        <v>0</v>
      </c>
      <c r="W10" s="7">
        <f t="shared" si="7"/>
        <v>46706</v>
      </c>
      <c r="X10">
        <f t="shared" si="4"/>
        <v>0.25</v>
      </c>
      <c r="Y10" s="5">
        <f t="shared" si="12"/>
        <v>0.20259043070603039</v>
      </c>
      <c r="Z10" s="7">
        <f t="shared" si="7"/>
        <v>46706</v>
      </c>
      <c r="AA10">
        <f t="shared" si="5"/>
        <v>2.25</v>
      </c>
      <c r="AB10" s="5">
        <f t="shared" si="13"/>
        <v>1.8233138763542736</v>
      </c>
      <c r="AC10" s="7">
        <f t="shared" si="7"/>
        <v>46706</v>
      </c>
      <c r="AD10">
        <f t="shared" si="6"/>
        <v>0.5</v>
      </c>
      <c r="AE10" s="5">
        <f t="shared" si="14"/>
        <v>0.40518086141206078</v>
      </c>
    </row>
    <row r="11" spans="1:31" x14ac:dyDescent="0.25">
      <c r="A11" s="7">
        <v>45611</v>
      </c>
      <c r="B11">
        <f t="shared" si="15"/>
        <v>0.99958046242229781</v>
      </c>
      <c r="C11">
        <f t="shared" si="16"/>
        <v>1.6174978480699231</v>
      </c>
      <c r="D11">
        <f t="shared" si="17"/>
        <v>0.94372386255621288</v>
      </c>
      <c r="K11" s="7">
        <f t="shared" si="7"/>
        <v>47300</v>
      </c>
      <c r="L11">
        <f t="shared" si="0"/>
        <v>0</v>
      </c>
      <c r="M11" s="5">
        <f t="shared" si="8"/>
        <v>0</v>
      </c>
      <c r="N11" s="7">
        <f t="shared" si="7"/>
        <v>47300</v>
      </c>
      <c r="O11">
        <f t="shared" si="1"/>
        <v>0</v>
      </c>
      <c r="P11" s="5">
        <f t="shared" si="9"/>
        <v>0</v>
      </c>
      <c r="Q11" s="7">
        <f t="shared" si="7"/>
        <v>47377</v>
      </c>
      <c r="R11">
        <f t="shared" si="2"/>
        <v>0</v>
      </c>
      <c r="S11" s="5">
        <f t="shared" si="10"/>
        <v>0</v>
      </c>
      <c r="T11" s="7">
        <f t="shared" si="7"/>
        <v>47072</v>
      </c>
      <c r="U11">
        <f t="shared" si="3"/>
        <v>0</v>
      </c>
      <c r="V11" s="5">
        <f t="shared" si="11"/>
        <v>0</v>
      </c>
      <c r="W11" s="7">
        <f t="shared" si="7"/>
        <v>47072</v>
      </c>
      <c r="X11">
        <f t="shared" si="4"/>
        <v>0.25</v>
      </c>
      <c r="Y11" s="5">
        <f t="shared" si="12"/>
        <v>0.19275675453479349</v>
      </c>
      <c r="Z11" s="7">
        <f t="shared" si="7"/>
        <v>47072</v>
      </c>
      <c r="AA11">
        <f t="shared" si="5"/>
        <v>2.25</v>
      </c>
      <c r="AB11" s="5">
        <f t="shared" si="13"/>
        <v>1.7348107908131414</v>
      </c>
      <c r="AC11" s="7">
        <f t="shared" si="7"/>
        <v>47072</v>
      </c>
      <c r="AD11">
        <f t="shared" si="6"/>
        <v>0.5</v>
      </c>
      <c r="AE11" s="5">
        <f t="shared" si="14"/>
        <v>0.38551350906958698</v>
      </c>
    </row>
    <row r="12" spans="1:31" x14ac:dyDescent="0.25">
      <c r="A12" s="7">
        <v>45839</v>
      </c>
      <c r="B12">
        <f t="shared" si="15"/>
        <v>0.99904318708761153</v>
      </c>
      <c r="C12">
        <f t="shared" si="16"/>
        <v>2.5032908474955136</v>
      </c>
      <c r="D12">
        <f t="shared" si="17"/>
        <v>0.91397755878731146</v>
      </c>
      <c r="K12" s="7">
        <f t="shared" si="7"/>
        <v>47665</v>
      </c>
      <c r="L12">
        <f t="shared" si="0"/>
        <v>0</v>
      </c>
      <c r="M12" s="5">
        <f t="shared" si="8"/>
        <v>0</v>
      </c>
      <c r="N12" s="7">
        <f t="shared" si="7"/>
        <v>47665</v>
      </c>
      <c r="O12">
        <f t="shared" si="1"/>
        <v>0</v>
      </c>
      <c r="P12" s="5">
        <f t="shared" si="9"/>
        <v>0</v>
      </c>
      <c r="Q12" s="7">
        <f t="shared" si="7"/>
        <v>47742</v>
      </c>
      <c r="R12">
        <f t="shared" si="2"/>
        <v>0</v>
      </c>
      <c r="S12" s="5">
        <f t="shared" si="10"/>
        <v>0</v>
      </c>
      <c r="T12" s="7">
        <f t="shared" si="7"/>
        <v>47437</v>
      </c>
      <c r="U12">
        <f t="shared" si="3"/>
        <v>0</v>
      </c>
      <c r="V12" s="5">
        <f t="shared" si="11"/>
        <v>0</v>
      </c>
      <c r="W12" s="7">
        <f t="shared" si="7"/>
        <v>47437</v>
      </c>
      <c r="X12">
        <f t="shared" si="4"/>
        <v>0.25</v>
      </c>
      <c r="Y12" s="5">
        <f t="shared" si="12"/>
        <v>0.18357616846859132</v>
      </c>
      <c r="Z12" s="7">
        <f t="shared" si="7"/>
        <v>47437</v>
      </c>
      <c r="AA12">
        <f t="shared" si="5"/>
        <v>2.25</v>
      </c>
      <c r="AB12" s="5">
        <f t="shared" si="13"/>
        <v>1.6521855162173218</v>
      </c>
      <c r="AC12" s="7">
        <f t="shared" si="7"/>
        <v>47437</v>
      </c>
      <c r="AD12">
        <f t="shared" si="6"/>
        <v>100.49999999999999</v>
      </c>
      <c r="AE12" s="5">
        <f t="shared" si="14"/>
        <v>73.797619724373703</v>
      </c>
    </row>
    <row r="13" spans="1:31" x14ac:dyDescent="0.25">
      <c r="A13" s="7">
        <v>45916</v>
      </c>
      <c r="B13">
        <f t="shared" si="15"/>
        <v>0.99882279909772098</v>
      </c>
      <c r="C13">
        <f t="shared" si="16"/>
        <v>2.8006034637611847</v>
      </c>
      <c r="D13">
        <f t="shared" si="17"/>
        <v>0.90416867601411643</v>
      </c>
      <c r="K13" s="7">
        <f t="shared" si="7"/>
        <v>48030</v>
      </c>
      <c r="L13">
        <f t="shared" si="0"/>
        <v>0</v>
      </c>
      <c r="M13" s="5">
        <f t="shared" si="8"/>
        <v>0</v>
      </c>
      <c r="N13" s="7">
        <f t="shared" si="7"/>
        <v>48030</v>
      </c>
      <c r="O13">
        <f t="shared" si="1"/>
        <v>0</v>
      </c>
      <c r="P13" s="5">
        <f t="shared" si="9"/>
        <v>0</v>
      </c>
      <c r="Q13" s="7">
        <f t="shared" si="7"/>
        <v>48107</v>
      </c>
      <c r="R13">
        <f t="shared" si="2"/>
        <v>0</v>
      </c>
      <c r="S13" s="5">
        <f t="shared" si="10"/>
        <v>0</v>
      </c>
      <c r="T13" s="7">
        <f t="shared" si="7"/>
        <v>47802</v>
      </c>
      <c r="U13">
        <f t="shared" si="3"/>
        <v>0</v>
      </c>
      <c r="V13" s="5">
        <f t="shared" si="11"/>
        <v>0</v>
      </c>
      <c r="W13" s="7">
        <f t="shared" si="7"/>
        <v>47802</v>
      </c>
      <c r="X13">
        <f t="shared" si="4"/>
        <v>0.25</v>
      </c>
      <c r="Y13" s="5">
        <f t="shared" si="12"/>
        <v>0.17499987490753718</v>
      </c>
      <c r="Z13" s="7">
        <f t="shared" si="7"/>
        <v>47802</v>
      </c>
      <c r="AA13">
        <f t="shared" si="5"/>
        <v>2.25</v>
      </c>
      <c r="AB13" s="5">
        <f t="shared" si="13"/>
        <v>1.5749988741678347</v>
      </c>
      <c r="AC13" s="7">
        <f t="shared" si="7"/>
        <v>47802</v>
      </c>
      <c r="AD13">
        <f t="shared" si="6"/>
        <v>0</v>
      </c>
      <c r="AE13" s="5">
        <f t="shared" si="14"/>
        <v>0</v>
      </c>
    </row>
    <row r="14" spans="1:31" x14ac:dyDescent="0.25">
      <c r="A14" s="7">
        <v>45976</v>
      </c>
      <c r="B14">
        <f t="shared" si="15"/>
        <v>0.99863920993384669</v>
      </c>
      <c r="C14">
        <f t="shared" si="16"/>
        <v>3.0316358932492329</v>
      </c>
      <c r="D14">
        <f t="shared" si="17"/>
        <v>0.8966081362103282</v>
      </c>
      <c r="K14" s="7">
        <f t="shared" si="7"/>
        <v>48396</v>
      </c>
      <c r="L14">
        <f t="shared" si="0"/>
        <v>0</v>
      </c>
      <c r="M14" s="5">
        <f t="shared" si="8"/>
        <v>0</v>
      </c>
      <c r="N14" s="7">
        <f t="shared" si="7"/>
        <v>48396</v>
      </c>
      <c r="O14">
        <f t="shared" si="1"/>
        <v>0</v>
      </c>
      <c r="P14" s="5">
        <f t="shared" si="9"/>
        <v>0</v>
      </c>
      <c r="Q14" s="7">
        <f t="shared" si="7"/>
        <v>48473</v>
      </c>
      <c r="R14">
        <f t="shared" si="2"/>
        <v>0</v>
      </c>
      <c r="S14" s="5">
        <f t="shared" si="10"/>
        <v>0</v>
      </c>
      <c r="T14" s="7">
        <f t="shared" si="7"/>
        <v>48167</v>
      </c>
      <c r="U14">
        <f t="shared" si="3"/>
        <v>0</v>
      </c>
      <c r="V14" s="5">
        <f t="shared" si="11"/>
        <v>0</v>
      </c>
      <c r="W14" s="7">
        <f t="shared" si="7"/>
        <v>48167</v>
      </c>
      <c r="X14">
        <f t="shared" si="4"/>
        <v>0.25</v>
      </c>
      <c r="Y14" s="5">
        <f t="shared" si="12"/>
        <v>0.16700498026954272</v>
      </c>
      <c r="Z14" s="7">
        <f t="shared" si="7"/>
        <v>48167</v>
      </c>
      <c r="AA14">
        <f t="shared" si="5"/>
        <v>2.25</v>
      </c>
      <c r="AB14" s="5">
        <f t="shared" si="13"/>
        <v>1.5030448224258846</v>
      </c>
      <c r="AC14" s="7">
        <f t="shared" si="7"/>
        <v>48167</v>
      </c>
      <c r="AD14">
        <f t="shared" si="6"/>
        <v>0</v>
      </c>
      <c r="AE14" s="5">
        <f t="shared" si="14"/>
        <v>0</v>
      </c>
    </row>
    <row r="15" spans="1:31" x14ac:dyDescent="0.25">
      <c r="A15" s="7">
        <v>46204</v>
      </c>
      <c r="B15">
        <f t="shared" si="15"/>
        <v>0.99786073765863392</v>
      </c>
      <c r="C15">
        <f t="shared" si="16"/>
        <v>3.9044737085286654</v>
      </c>
      <c r="D15">
        <f t="shared" si="17"/>
        <v>0.86853656386499589</v>
      </c>
      <c r="K15" s="7">
        <f t="shared" si="7"/>
        <v>48761</v>
      </c>
      <c r="L15">
        <f t="shared" si="0"/>
        <v>0</v>
      </c>
      <c r="M15" s="5">
        <f t="shared" si="8"/>
        <v>0</v>
      </c>
      <c r="N15" s="7">
        <f t="shared" si="7"/>
        <v>48761</v>
      </c>
      <c r="O15">
        <f t="shared" si="1"/>
        <v>0</v>
      </c>
      <c r="P15" s="5">
        <f t="shared" si="9"/>
        <v>0</v>
      </c>
      <c r="Q15" s="7">
        <f t="shared" si="7"/>
        <v>48838</v>
      </c>
      <c r="R15">
        <f t="shared" si="2"/>
        <v>0</v>
      </c>
      <c r="S15" s="5">
        <f t="shared" si="10"/>
        <v>0</v>
      </c>
      <c r="T15" s="7">
        <f t="shared" si="7"/>
        <v>48533</v>
      </c>
      <c r="U15">
        <f t="shared" si="3"/>
        <v>0</v>
      </c>
      <c r="V15" s="5">
        <f t="shared" si="11"/>
        <v>0</v>
      </c>
      <c r="W15" s="7">
        <f t="shared" si="7"/>
        <v>48533</v>
      </c>
      <c r="X15">
        <f t="shared" si="4"/>
        <v>0.25</v>
      </c>
      <c r="Y15" s="5">
        <f t="shared" si="12"/>
        <v>0.15954779979184067</v>
      </c>
      <c r="Z15" s="7">
        <f t="shared" si="7"/>
        <v>48533</v>
      </c>
      <c r="AA15">
        <f t="shared" si="5"/>
        <v>2.25</v>
      </c>
      <c r="AB15" s="5">
        <f t="shared" si="13"/>
        <v>1.435930198126566</v>
      </c>
      <c r="AC15" s="7">
        <f t="shared" si="7"/>
        <v>48533</v>
      </c>
      <c r="AD15">
        <f t="shared" si="6"/>
        <v>0</v>
      </c>
      <c r="AE15" s="5">
        <f t="shared" si="14"/>
        <v>0</v>
      </c>
    </row>
    <row r="16" spans="1:31" x14ac:dyDescent="0.25">
      <c r="A16" s="7">
        <v>46281</v>
      </c>
      <c r="B16">
        <f t="shared" si="15"/>
        <v>0.9975738227951918</v>
      </c>
      <c r="C16">
        <f t="shared" si="16"/>
        <v>4.1974379728710316</v>
      </c>
      <c r="D16">
        <f t="shared" si="17"/>
        <v>0.85929065910364277</v>
      </c>
      <c r="K16" s="7">
        <f t="shared" si="7"/>
        <v>49126</v>
      </c>
      <c r="L16">
        <f t="shared" si="0"/>
        <v>0</v>
      </c>
      <c r="M16" s="5">
        <f t="shared" si="8"/>
        <v>0</v>
      </c>
      <c r="N16" s="7">
        <f t="shared" si="7"/>
        <v>49126</v>
      </c>
      <c r="O16">
        <f t="shared" si="1"/>
        <v>0</v>
      </c>
      <c r="P16" s="5">
        <f t="shared" si="9"/>
        <v>0</v>
      </c>
      <c r="Q16" s="7">
        <f t="shared" si="7"/>
        <v>49203</v>
      </c>
      <c r="R16">
        <f t="shared" si="2"/>
        <v>0</v>
      </c>
      <c r="S16" s="5">
        <f t="shared" si="10"/>
        <v>0</v>
      </c>
      <c r="T16" s="7">
        <f t="shared" si="7"/>
        <v>48898</v>
      </c>
      <c r="U16">
        <f t="shared" si="3"/>
        <v>0</v>
      </c>
      <c r="V16" s="5">
        <f t="shared" si="11"/>
        <v>0</v>
      </c>
      <c r="W16" s="7">
        <f t="shared" si="7"/>
        <v>48898</v>
      </c>
      <c r="X16">
        <f t="shared" si="4"/>
        <v>0.25</v>
      </c>
      <c r="Y16" s="5">
        <f t="shared" si="12"/>
        <v>0.15264438916209461</v>
      </c>
      <c r="Z16" s="7">
        <f t="shared" si="7"/>
        <v>48898</v>
      </c>
      <c r="AA16">
        <f t="shared" si="5"/>
        <v>102.25</v>
      </c>
      <c r="AB16" s="5">
        <f t="shared" si="13"/>
        <v>62.431555167296693</v>
      </c>
      <c r="AC16" s="7">
        <f t="shared" si="7"/>
        <v>48898</v>
      </c>
      <c r="AD16">
        <f t="shared" si="6"/>
        <v>0</v>
      </c>
      <c r="AE16" s="5">
        <f t="shared" si="14"/>
        <v>0</v>
      </c>
    </row>
    <row r="17" spans="1:31" x14ac:dyDescent="0.25">
      <c r="A17" s="7">
        <v>46341</v>
      </c>
      <c r="B17">
        <f t="shared" si="15"/>
        <v>0.99734354111454282</v>
      </c>
      <c r="C17">
        <f t="shared" si="16"/>
        <v>4.4250914327017323</v>
      </c>
      <c r="D17">
        <f t="shared" si="17"/>
        <v>0.85216765446827325</v>
      </c>
      <c r="K17" s="7">
        <f t="shared" si="7"/>
        <v>49491</v>
      </c>
      <c r="L17">
        <f t="shared" si="0"/>
        <v>0</v>
      </c>
      <c r="M17" s="5">
        <f t="shared" si="8"/>
        <v>0</v>
      </c>
      <c r="N17" s="7">
        <f t="shared" si="7"/>
        <v>49491</v>
      </c>
      <c r="O17">
        <f t="shared" si="1"/>
        <v>0</v>
      </c>
      <c r="P17" s="5">
        <f t="shared" si="9"/>
        <v>0</v>
      </c>
      <c r="Q17" s="7">
        <f t="shared" si="7"/>
        <v>49568</v>
      </c>
      <c r="R17">
        <f t="shared" si="2"/>
        <v>0</v>
      </c>
      <c r="S17" s="5">
        <f t="shared" si="10"/>
        <v>0</v>
      </c>
      <c r="T17" s="7">
        <f t="shared" si="7"/>
        <v>49263</v>
      </c>
      <c r="U17">
        <f t="shared" si="3"/>
        <v>0</v>
      </c>
      <c r="V17" s="5">
        <f t="shared" si="11"/>
        <v>0</v>
      </c>
      <c r="W17" s="7">
        <f t="shared" si="7"/>
        <v>49263</v>
      </c>
      <c r="X17">
        <f t="shared" si="4"/>
        <v>0.25</v>
      </c>
      <c r="Y17" s="5">
        <f t="shared" si="12"/>
        <v>0.14624887128164693</v>
      </c>
      <c r="Z17" s="7">
        <f t="shared" si="7"/>
        <v>49263</v>
      </c>
      <c r="AA17">
        <f t="shared" si="5"/>
        <v>0</v>
      </c>
      <c r="AB17" s="5">
        <f t="shared" si="13"/>
        <v>0</v>
      </c>
      <c r="AC17" s="7">
        <f t="shared" si="7"/>
        <v>49263</v>
      </c>
      <c r="AD17">
        <f t="shared" si="6"/>
        <v>0</v>
      </c>
      <c r="AE17" s="5">
        <f t="shared" si="14"/>
        <v>0</v>
      </c>
    </row>
    <row r="18" spans="1:31" x14ac:dyDescent="0.25">
      <c r="A18" s="7">
        <v>46569</v>
      </c>
      <c r="B18">
        <f t="shared" si="15"/>
        <v>0.99642811145693666</v>
      </c>
      <c r="C18">
        <f t="shared" si="16"/>
        <v>5.2851635401532437</v>
      </c>
      <c r="D18">
        <f t="shared" si="17"/>
        <v>0.82574782653845824</v>
      </c>
      <c r="K18" s="7">
        <f t="shared" si="7"/>
        <v>49857</v>
      </c>
      <c r="L18">
        <f t="shared" si="0"/>
        <v>0</v>
      </c>
      <c r="M18" s="5">
        <f t="shared" si="8"/>
        <v>0</v>
      </c>
      <c r="N18" s="7">
        <f t="shared" si="7"/>
        <v>49857</v>
      </c>
      <c r="O18">
        <f t="shared" si="1"/>
        <v>0</v>
      </c>
      <c r="P18" s="5">
        <f t="shared" si="9"/>
        <v>0</v>
      </c>
      <c r="Q18" s="7">
        <f t="shared" si="7"/>
        <v>49934</v>
      </c>
      <c r="R18">
        <f t="shared" si="2"/>
        <v>0</v>
      </c>
      <c r="S18" s="5">
        <f t="shared" si="10"/>
        <v>0</v>
      </c>
      <c r="T18" s="7">
        <f t="shared" si="7"/>
        <v>49628</v>
      </c>
      <c r="U18">
        <f t="shared" si="3"/>
        <v>0</v>
      </c>
      <c r="V18" s="5">
        <f t="shared" si="11"/>
        <v>0</v>
      </c>
      <c r="W18" s="7">
        <f t="shared" si="7"/>
        <v>49628</v>
      </c>
      <c r="X18">
        <f t="shared" si="4"/>
        <v>0.25</v>
      </c>
      <c r="Y18" s="5">
        <f t="shared" si="12"/>
        <v>0.14033677169947348</v>
      </c>
      <c r="Z18" s="7">
        <f t="shared" si="7"/>
        <v>49628</v>
      </c>
      <c r="AA18">
        <f t="shared" si="5"/>
        <v>0</v>
      </c>
      <c r="AB18" s="5">
        <f t="shared" si="13"/>
        <v>0</v>
      </c>
      <c r="AC18" s="7">
        <f t="shared" si="7"/>
        <v>49628</v>
      </c>
      <c r="AD18">
        <f t="shared" si="6"/>
        <v>0</v>
      </c>
      <c r="AE18" s="5">
        <f t="shared" si="14"/>
        <v>0</v>
      </c>
    </row>
    <row r="19" spans="1:31" x14ac:dyDescent="0.25">
      <c r="A19" s="7">
        <v>46646</v>
      </c>
      <c r="B19">
        <f t="shared" si="15"/>
        <v>0.99610918988920727</v>
      </c>
      <c r="C19">
        <f t="shared" si="16"/>
        <v>5.5738430494848314</v>
      </c>
      <c r="D19">
        <f t="shared" si="17"/>
        <v>0.81705528393800497</v>
      </c>
      <c r="K19" s="7">
        <f t="shared" si="7"/>
        <v>50222</v>
      </c>
      <c r="L19">
        <f t="shared" si="0"/>
        <v>0</v>
      </c>
      <c r="M19" s="5">
        <f t="shared" si="8"/>
        <v>0</v>
      </c>
      <c r="N19" s="7">
        <f t="shared" si="7"/>
        <v>50222</v>
      </c>
      <c r="O19">
        <f t="shared" si="1"/>
        <v>0</v>
      </c>
      <c r="P19" s="5">
        <f t="shared" si="9"/>
        <v>0</v>
      </c>
      <c r="Q19" s="7">
        <f t="shared" si="7"/>
        <v>50299</v>
      </c>
      <c r="R19">
        <f t="shared" si="2"/>
        <v>0</v>
      </c>
      <c r="S19" s="5">
        <f t="shared" si="10"/>
        <v>0</v>
      </c>
      <c r="T19" s="7">
        <f t="shared" si="7"/>
        <v>49994</v>
      </c>
      <c r="U19">
        <f t="shared" si="3"/>
        <v>0</v>
      </c>
      <c r="V19" s="5">
        <f t="shared" si="11"/>
        <v>0</v>
      </c>
      <c r="W19" s="7">
        <f t="shared" si="7"/>
        <v>49994</v>
      </c>
      <c r="X19">
        <f t="shared" si="4"/>
        <v>0.25</v>
      </c>
      <c r="Y19" s="5">
        <f t="shared" si="12"/>
        <v>0.13486987579359438</v>
      </c>
      <c r="Z19" s="7">
        <f t="shared" si="7"/>
        <v>49994</v>
      </c>
      <c r="AA19">
        <f t="shared" si="5"/>
        <v>0</v>
      </c>
      <c r="AB19" s="5">
        <f t="shared" si="13"/>
        <v>0</v>
      </c>
      <c r="AC19" s="7">
        <f t="shared" si="7"/>
        <v>49994</v>
      </c>
      <c r="AD19">
        <f t="shared" si="6"/>
        <v>0</v>
      </c>
      <c r="AE19" s="5">
        <f t="shared" si="14"/>
        <v>0</v>
      </c>
    </row>
    <row r="20" spans="1:31" x14ac:dyDescent="0.25">
      <c r="A20" s="7">
        <v>46706</v>
      </c>
      <c r="B20">
        <f t="shared" si="15"/>
        <v>0.99585887398400141</v>
      </c>
      <c r="C20">
        <f t="shared" si="16"/>
        <v>5.7981669588499898</v>
      </c>
      <c r="D20">
        <f t="shared" si="17"/>
        <v>0.81036172282412156</v>
      </c>
      <c r="E20" s="6"/>
      <c r="K20" s="7">
        <f t="shared" si="7"/>
        <v>50587</v>
      </c>
      <c r="L20">
        <f t="shared" si="0"/>
        <v>0</v>
      </c>
      <c r="M20" s="5">
        <f t="shared" si="8"/>
        <v>0</v>
      </c>
      <c r="N20" s="7">
        <f t="shared" si="7"/>
        <v>50587</v>
      </c>
      <c r="O20">
        <f t="shared" si="1"/>
        <v>0</v>
      </c>
      <c r="P20" s="5">
        <f t="shared" si="9"/>
        <v>0</v>
      </c>
      <c r="Q20" s="7">
        <f t="shared" si="7"/>
        <v>50664</v>
      </c>
      <c r="R20">
        <f t="shared" si="2"/>
        <v>0</v>
      </c>
      <c r="S20" s="5">
        <f t="shared" si="10"/>
        <v>0</v>
      </c>
      <c r="T20" s="7">
        <f t="shared" si="7"/>
        <v>50359</v>
      </c>
      <c r="U20">
        <f t="shared" si="3"/>
        <v>0</v>
      </c>
      <c r="V20" s="5">
        <f t="shared" si="11"/>
        <v>0</v>
      </c>
      <c r="W20" s="7">
        <f t="shared" si="7"/>
        <v>50359</v>
      </c>
      <c r="X20">
        <f t="shared" si="4"/>
        <v>0.25</v>
      </c>
      <c r="Y20" s="5">
        <f t="shared" si="12"/>
        <v>0.12985495771378616</v>
      </c>
      <c r="Z20" s="7">
        <f t="shared" si="7"/>
        <v>50359</v>
      </c>
      <c r="AA20">
        <f t="shared" si="5"/>
        <v>0</v>
      </c>
      <c r="AB20" s="5">
        <f t="shared" si="13"/>
        <v>0</v>
      </c>
      <c r="AC20" s="7">
        <f t="shared" si="7"/>
        <v>50359</v>
      </c>
      <c r="AD20">
        <f t="shared" si="6"/>
        <v>0</v>
      </c>
      <c r="AE20" s="5">
        <f t="shared" si="14"/>
        <v>0</v>
      </c>
    </row>
    <row r="21" spans="1:31" x14ac:dyDescent="0.25">
      <c r="A21" s="7">
        <v>46935</v>
      </c>
      <c r="B21">
        <f t="shared" si="15"/>
        <v>0.99490171417094864</v>
      </c>
      <c r="C21">
        <f t="shared" si="16"/>
        <v>6.6493599853024703</v>
      </c>
      <c r="D21">
        <f t="shared" si="17"/>
        <v>0.78545188753947981</v>
      </c>
      <c r="E21" s="6"/>
      <c r="K21" s="7">
        <f t="shared" si="7"/>
        <v>50952</v>
      </c>
      <c r="L21">
        <f t="shared" si="0"/>
        <v>0</v>
      </c>
      <c r="M21" s="5">
        <f t="shared" si="8"/>
        <v>0</v>
      </c>
      <c r="N21" s="7">
        <f t="shared" si="7"/>
        <v>50952</v>
      </c>
      <c r="O21">
        <f t="shared" si="1"/>
        <v>0</v>
      </c>
      <c r="P21" s="5">
        <f t="shared" si="9"/>
        <v>0</v>
      </c>
      <c r="Q21" s="7">
        <f t="shared" si="7"/>
        <v>51029</v>
      </c>
      <c r="R21">
        <f t="shared" si="2"/>
        <v>0</v>
      </c>
      <c r="S21" s="5">
        <f t="shared" si="10"/>
        <v>0</v>
      </c>
      <c r="T21" s="7">
        <f t="shared" si="7"/>
        <v>50724</v>
      </c>
      <c r="U21">
        <f t="shared" si="3"/>
        <v>0</v>
      </c>
      <c r="V21" s="5">
        <f t="shared" si="11"/>
        <v>0</v>
      </c>
      <c r="W21" s="7">
        <f t="shared" si="7"/>
        <v>50724</v>
      </c>
      <c r="X21">
        <f t="shared" si="4"/>
        <v>0.25</v>
      </c>
      <c r="Y21" s="5">
        <f t="shared" si="12"/>
        <v>0.12525444946027772</v>
      </c>
      <c r="Z21" s="7">
        <f t="shared" si="7"/>
        <v>50724</v>
      </c>
      <c r="AA21">
        <f t="shared" si="5"/>
        <v>0</v>
      </c>
      <c r="AB21" s="5">
        <f t="shared" si="13"/>
        <v>0</v>
      </c>
      <c r="AC21" s="7">
        <f t="shared" si="7"/>
        <v>50724</v>
      </c>
      <c r="AD21">
        <f t="shared" si="6"/>
        <v>0</v>
      </c>
      <c r="AE21" s="5">
        <f t="shared" si="14"/>
        <v>0</v>
      </c>
    </row>
    <row r="22" spans="1:31" x14ac:dyDescent="0.25">
      <c r="A22" s="7">
        <v>47012</v>
      </c>
      <c r="B22">
        <f t="shared" si="15"/>
        <v>0.99458370855089995</v>
      </c>
      <c r="C22">
        <f t="shared" si="16"/>
        <v>6.9338059242693344</v>
      </c>
      <c r="D22">
        <f t="shared" si="17"/>
        <v>0.77730084679261591</v>
      </c>
      <c r="E22" s="6"/>
      <c r="K22" s="7">
        <f t="shared" si="7"/>
        <v>51318</v>
      </c>
      <c r="L22">
        <f t="shared" si="0"/>
        <v>0</v>
      </c>
      <c r="M22" s="5">
        <f t="shared" si="8"/>
        <v>0</v>
      </c>
      <c r="N22" s="7">
        <f t="shared" si="7"/>
        <v>51318</v>
      </c>
      <c r="O22">
        <f t="shared" si="1"/>
        <v>0</v>
      </c>
      <c r="P22" s="5">
        <f t="shared" si="9"/>
        <v>0</v>
      </c>
      <c r="Q22" s="7">
        <f t="shared" si="7"/>
        <v>51395</v>
      </c>
      <c r="R22">
        <f t="shared" si="2"/>
        <v>0</v>
      </c>
      <c r="S22" s="5">
        <f t="shared" si="10"/>
        <v>0</v>
      </c>
      <c r="T22" s="7">
        <f t="shared" si="7"/>
        <v>51089</v>
      </c>
      <c r="U22">
        <f t="shared" si="3"/>
        <v>0</v>
      </c>
      <c r="V22" s="5">
        <f t="shared" si="11"/>
        <v>0</v>
      </c>
      <c r="W22" s="7">
        <f t="shared" si="7"/>
        <v>51089</v>
      </c>
      <c r="X22">
        <f t="shared" si="4"/>
        <v>0.25</v>
      </c>
      <c r="Y22" s="5">
        <f t="shared" si="12"/>
        <v>0.12104752189605746</v>
      </c>
      <c r="Z22" s="7">
        <f t="shared" si="7"/>
        <v>51089</v>
      </c>
      <c r="AA22">
        <f t="shared" si="5"/>
        <v>0</v>
      </c>
      <c r="AB22" s="5">
        <f t="shared" si="13"/>
        <v>0</v>
      </c>
      <c r="AC22" s="7">
        <f t="shared" si="7"/>
        <v>51089</v>
      </c>
      <c r="AD22">
        <f t="shared" si="6"/>
        <v>0</v>
      </c>
      <c r="AE22" s="5">
        <f t="shared" si="14"/>
        <v>0</v>
      </c>
    </row>
    <row r="23" spans="1:31" x14ac:dyDescent="0.25">
      <c r="A23" s="7">
        <v>47072</v>
      </c>
      <c r="B23">
        <f t="shared" si="15"/>
        <v>0.99433878638887985</v>
      </c>
      <c r="C23">
        <f t="shared" si="16"/>
        <v>7.1548400571727493</v>
      </c>
      <c r="D23">
        <f t="shared" si="17"/>
        <v>0.77102701813917396</v>
      </c>
      <c r="E23" s="6"/>
      <c r="K23" s="7">
        <f t="shared" si="7"/>
        <v>51683</v>
      </c>
      <c r="L23">
        <f t="shared" ref="L23:L36" si="18">IF(K23&gt;L$3,0,IF(K23=L$3,1+L$2,L$2)*100)</f>
        <v>0</v>
      </c>
      <c r="M23" s="5">
        <f t="shared" si="8"/>
        <v>0</v>
      </c>
      <c r="N23" s="7">
        <f t="shared" si="7"/>
        <v>51683</v>
      </c>
      <c r="O23">
        <f t="shared" si="1"/>
        <v>0</v>
      </c>
      <c r="P23" s="5">
        <f t="shared" si="9"/>
        <v>0</v>
      </c>
      <c r="Q23" s="7">
        <f t="shared" si="7"/>
        <v>51760</v>
      </c>
      <c r="R23">
        <f t="shared" si="2"/>
        <v>0</v>
      </c>
      <c r="S23" s="5">
        <f t="shared" si="10"/>
        <v>0</v>
      </c>
      <c r="T23" s="7">
        <f t="shared" si="7"/>
        <v>51455</v>
      </c>
      <c r="U23">
        <f t="shared" si="3"/>
        <v>0</v>
      </c>
      <c r="V23" s="5">
        <f t="shared" si="11"/>
        <v>0</v>
      </c>
      <c r="W23" s="7">
        <f t="shared" si="7"/>
        <v>51455</v>
      </c>
      <c r="X23">
        <f t="shared" si="4"/>
        <v>0.25</v>
      </c>
      <c r="Y23" s="5">
        <f t="shared" si="12"/>
        <v>0.11720463793200213</v>
      </c>
      <c r="Z23" s="7">
        <f t="shared" si="7"/>
        <v>51455</v>
      </c>
      <c r="AA23">
        <f t="shared" si="5"/>
        <v>0</v>
      </c>
      <c r="AB23" s="5">
        <f t="shared" si="13"/>
        <v>0</v>
      </c>
      <c r="AC23" s="7">
        <f t="shared" si="7"/>
        <v>51455</v>
      </c>
      <c r="AD23">
        <f t="shared" si="6"/>
        <v>0</v>
      </c>
      <c r="AE23" s="5">
        <f t="shared" si="14"/>
        <v>0</v>
      </c>
    </row>
    <row r="24" spans="1:31" x14ac:dyDescent="0.25">
      <c r="A24" s="7">
        <v>47300</v>
      </c>
      <c r="B24">
        <f t="shared" si="15"/>
        <v>0.99344303841682913</v>
      </c>
      <c r="C24">
        <f t="shared" si="16"/>
        <v>7.9899044249461388</v>
      </c>
      <c r="D24">
        <f t="shared" si="17"/>
        <v>0.74780004579715631</v>
      </c>
      <c r="E24" s="6"/>
      <c r="K24" s="7">
        <f t="shared" si="7"/>
        <v>52048</v>
      </c>
      <c r="L24">
        <f t="shared" si="18"/>
        <v>0</v>
      </c>
      <c r="M24" s="5">
        <f t="shared" si="8"/>
        <v>0</v>
      </c>
      <c r="N24" s="7">
        <f t="shared" si="7"/>
        <v>52048</v>
      </c>
      <c r="O24">
        <f t="shared" si="1"/>
        <v>0</v>
      </c>
      <c r="P24" s="5">
        <f t="shared" si="9"/>
        <v>0</v>
      </c>
      <c r="Q24" s="7">
        <f t="shared" si="7"/>
        <v>52125</v>
      </c>
      <c r="R24">
        <f t="shared" si="2"/>
        <v>0</v>
      </c>
      <c r="S24" s="5">
        <f t="shared" si="10"/>
        <v>0</v>
      </c>
      <c r="T24" s="7">
        <f t="shared" si="7"/>
        <v>51820</v>
      </c>
      <c r="U24">
        <f t="shared" si="3"/>
        <v>0</v>
      </c>
      <c r="V24" s="5">
        <f t="shared" si="11"/>
        <v>0</v>
      </c>
      <c r="W24" s="7">
        <f t="shared" si="7"/>
        <v>51820</v>
      </c>
      <c r="X24">
        <f t="shared" si="4"/>
        <v>0.25</v>
      </c>
      <c r="Y24" s="5">
        <f t="shared" si="12"/>
        <v>0.11372860389553306</v>
      </c>
      <c r="Z24" s="7">
        <f t="shared" si="7"/>
        <v>51820</v>
      </c>
      <c r="AA24">
        <f t="shared" si="5"/>
        <v>0</v>
      </c>
      <c r="AB24" s="5">
        <f t="shared" si="13"/>
        <v>0</v>
      </c>
      <c r="AC24" s="7">
        <f t="shared" si="7"/>
        <v>51820</v>
      </c>
      <c r="AD24">
        <f t="shared" si="6"/>
        <v>0</v>
      </c>
      <c r="AE24" s="5">
        <f t="shared" si="14"/>
        <v>0</v>
      </c>
    </row>
    <row r="25" spans="1:31" x14ac:dyDescent="0.25">
      <c r="A25" s="7">
        <v>47377</v>
      </c>
      <c r="B25">
        <f t="shared" si="15"/>
        <v>0.99315725442029856</v>
      </c>
      <c r="C25">
        <f t="shared" si="16"/>
        <v>8.2701901938492046</v>
      </c>
      <c r="D25">
        <f t="shared" si="17"/>
        <v>0.74017285967649138</v>
      </c>
      <c r="E25" s="6"/>
      <c r="K25" s="7">
        <f t="shared" si="7"/>
        <v>52413</v>
      </c>
      <c r="L25">
        <f t="shared" si="18"/>
        <v>0</v>
      </c>
      <c r="M25" s="5">
        <f t="shared" si="8"/>
        <v>0</v>
      </c>
      <c r="N25" s="7">
        <f t="shared" si="7"/>
        <v>52413</v>
      </c>
      <c r="O25">
        <f t="shared" si="1"/>
        <v>0</v>
      </c>
      <c r="P25" s="5">
        <f t="shared" si="9"/>
        <v>0</v>
      </c>
      <c r="Q25" s="7">
        <f t="shared" si="7"/>
        <v>52490</v>
      </c>
      <c r="R25">
        <f t="shared" si="2"/>
        <v>0</v>
      </c>
      <c r="S25" s="5">
        <f t="shared" si="10"/>
        <v>0</v>
      </c>
      <c r="T25" s="7">
        <f t="shared" si="7"/>
        <v>52185</v>
      </c>
      <c r="U25">
        <f t="shared" si="3"/>
        <v>0</v>
      </c>
      <c r="V25" s="5">
        <f t="shared" si="11"/>
        <v>0</v>
      </c>
      <c r="W25" s="7">
        <f t="shared" si="7"/>
        <v>52185</v>
      </c>
      <c r="X25">
        <f t="shared" si="4"/>
        <v>0.25</v>
      </c>
      <c r="Y25" s="5">
        <f t="shared" si="12"/>
        <v>0.11059170570856447</v>
      </c>
      <c r="Z25" s="7">
        <f t="shared" si="7"/>
        <v>52185</v>
      </c>
      <c r="AA25">
        <f t="shared" si="5"/>
        <v>0</v>
      </c>
      <c r="AB25" s="5">
        <f t="shared" si="13"/>
        <v>0</v>
      </c>
      <c r="AC25" s="7">
        <f t="shared" si="7"/>
        <v>52185</v>
      </c>
      <c r="AD25">
        <f t="shared" si="6"/>
        <v>0</v>
      </c>
      <c r="AE25" s="5">
        <f t="shared" si="14"/>
        <v>0</v>
      </c>
    </row>
    <row r="26" spans="1:31" x14ac:dyDescent="0.25">
      <c r="A26" s="7">
        <v>47437</v>
      </c>
      <c r="B26">
        <f t="shared" si="15"/>
        <v>0.99294187783492438</v>
      </c>
      <c r="C26">
        <f t="shared" si="16"/>
        <v>8.4879915873922798</v>
      </c>
      <c r="D26">
        <f t="shared" si="17"/>
        <v>0.73430467387436527</v>
      </c>
      <c r="E26" s="6"/>
      <c r="K26" s="7">
        <f t="shared" si="7"/>
        <v>52779</v>
      </c>
      <c r="L26">
        <f t="shared" si="18"/>
        <v>0</v>
      </c>
      <c r="M26" s="5">
        <f t="shared" si="8"/>
        <v>0</v>
      </c>
      <c r="N26" s="7">
        <f t="shared" si="7"/>
        <v>52779</v>
      </c>
      <c r="O26">
        <f t="shared" si="1"/>
        <v>0</v>
      </c>
      <c r="P26" s="5">
        <f t="shared" si="9"/>
        <v>0</v>
      </c>
      <c r="Q26" s="7">
        <f t="shared" si="7"/>
        <v>52856</v>
      </c>
      <c r="R26">
        <f t="shared" si="2"/>
        <v>0</v>
      </c>
      <c r="S26" s="5">
        <f t="shared" si="10"/>
        <v>0</v>
      </c>
      <c r="T26" s="7">
        <f t="shared" si="7"/>
        <v>52550</v>
      </c>
      <c r="U26">
        <f t="shared" si="3"/>
        <v>0</v>
      </c>
      <c r="V26" s="5">
        <f t="shared" si="11"/>
        <v>0</v>
      </c>
      <c r="W26" s="7">
        <f t="shared" si="7"/>
        <v>52550</v>
      </c>
      <c r="X26">
        <f t="shared" si="4"/>
        <v>0.25</v>
      </c>
      <c r="Y26" s="5">
        <f t="shared" si="12"/>
        <v>0.10777871314747725</v>
      </c>
      <c r="Z26" s="7">
        <f t="shared" si="7"/>
        <v>52550</v>
      </c>
      <c r="AA26">
        <f t="shared" si="5"/>
        <v>0</v>
      </c>
      <c r="AB26" s="5">
        <f t="shared" si="13"/>
        <v>0</v>
      </c>
      <c r="AC26" s="7">
        <f t="shared" si="7"/>
        <v>52550</v>
      </c>
      <c r="AD26">
        <f t="shared" si="6"/>
        <v>0</v>
      </c>
      <c r="AE26" s="5">
        <f t="shared" si="14"/>
        <v>0</v>
      </c>
    </row>
    <row r="27" spans="1:31" x14ac:dyDescent="0.25">
      <c r="A27" s="7">
        <v>47665</v>
      </c>
      <c r="B27">
        <f t="shared" si="15"/>
        <v>0.99219327089580656</v>
      </c>
      <c r="C27">
        <f t="shared" si="16"/>
        <v>9.3108427036888379</v>
      </c>
      <c r="D27">
        <f t="shared" si="17"/>
        <v>0.7125980093919162</v>
      </c>
      <c r="E27" s="6"/>
      <c r="K27" s="7">
        <f t="shared" si="7"/>
        <v>53144</v>
      </c>
      <c r="L27">
        <f t="shared" si="18"/>
        <v>0</v>
      </c>
      <c r="M27" s="5">
        <f t="shared" si="8"/>
        <v>0</v>
      </c>
      <c r="N27" s="7">
        <f t="shared" si="7"/>
        <v>53144</v>
      </c>
      <c r="O27">
        <f t="shared" si="1"/>
        <v>0</v>
      </c>
      <c r="P27" s="5">
        <f t="shared" si="9"/>
        <v>0</v>
      </c>
      <c r="Q27" s="7">
        <f t="shared" si="7"/>
        <v>53221</v>
      </c>
      <c r="R27">
        <f t="shared" si="2"/>
        <v>0</v>
      </c>
      <c r="S27" s="5">
        <f t="shared" si="10"/>
        <v>0</v>
      </c>
      <c r="T27" s="7">
        <f t="shared" si="7"/>
        <v>52916</v>
      </c>
      <c r="U27">
        <f t="shared" si="3"/>
        <v>0</v>
      </c>
      <c r="V27" s="5">
        <f t="shared" si="11"/>
        <v>0</v>
      </c>
      <c r="W27" s="7">
        <f t="shared" si="7"/>
        <v>52916</v>
      </c>
      <c r="X27">
        <f t="shared" si="4"/>
        <v>0.25</v>
      </c>
      <c r="Y27" s="5">
        <f t="shared" si="12"/>
        <v>0.1052694622289565</v>
      </c>
      <c r="Z27" s="7">
        <f t="shared" si="7"/>
        <v>52916</v>
      </c>
      <c r="AA27">
        <f t="shared" si="5"/>
        <v>0</v>
      </c>
      <c r="AB27" s="5">
        <f t="shared" si="13"/>
        <v>0</v>
      </c>
      <c r="AC27" s="7">
        <f t="shared" si="7"/>
        <v>52916</v>
      </c>
      <c r="AD27">
        <f t="shared" si="6"/>
        <v>0</v>
      </c>
      <c r="AE27" s="5">
        <f t="shared" si="14"/>
        <v>0</v>
      </c>
    </row>
    <row r="28" spans="1:31" x14ac:dyDescent="0.25">
      <c r="A28" s="7">
        <v>47742</v>
      </c>
      <c r="B28">
        <f t="shared" si="15"/>
        <v>0.99196944652065799</v>
      </c>
      <c r="C28">
        <f t="shared" si="16"/>
        <v>9.5870291471828608</v>
      </c>
      <c r="D28">
        <f t="shared" si="17"/>
        <v>0.7054764715842291</v>
      </c>
      <c r="E28" s="6"/>
      <c r="K28" s="7">
        <f t="shared" si="7"/>
        <v>53509</v>
      </c>
      <c r="L28">
        <f t="shared" si="18"/>
        <v>0</v>
      </c>
      <c r="M28" s="5">
        <f t="shared" si="8"/>
        <v>0</v>
      </c>
      <c r="N28" s="7">
        <f t="shared" si="7"/>
        <v>53509</v>
      </c>
      <c r="O28">
        <f t="shared" si="1"/>
        <v>0</v>
      </c>
      <c r="P28" s="5">
        <f t="shared" si="9"/>
        <v>0</v>
      </c>
      <c r="Q28" s="7">
        <f t="shared" si="7"/>
        <v>53586</v>
      </c>
      <c r="R28">
        <f t="shared" si="2"/>
        <v>0</v>
      </c>
      <c r="S28" s="5">
        <f t="shared" si="10"/>
        <v>0</v>
      </c>
      <c r="T28" s="7">
        <f t="shared" si="7"/>
        <v>53281</v>
      </c>
      <c r="U28">
        <f t="shared" si="3"/>
        <v>0</v>
      </c>
      <c r="V28" s="5">
        <f t="shared" si="11"/>
        <v>0</v>
      </c>
      <c r="W28" s="7">
        <f t="shared" si="7"/>
        <v>53281</v>
      </c>
      <c r="X28">
        <f t="shared" si="4"/>
        <v>0.25</v>
      </c>
      <c r="Y28" s="5">
        <f t="shared" si="12"/>
        <v>0.10306544552325611</v>
      </c>
      <c r="Z28" s="7">
        <f t="shared" si="7"/>
        <v>53281</v>
      </c>
      <c r="AA28">
        <f t="shared" si="5"/>
        <v>0</v>
      </c>
      <c r="AB28" s="5">
        <f t="shared" si="13"/>
        <v>0</v>
      </c>
      <c r="AC28" s="7">
        <f t="shared" si="7"/>
        <v>53281</v>
      </c>
      <c r="AD28">
        <f t="shared" si="6"/>
        <v>0</v>
      </c>
      <c r="AE28" s="5">
        <f t="shared" si="14"/>
        <v>0</v>
      </c>
    </row>
    <row r="29" spans="1:31" x14ac:dyDescent="0.25">
      <c r="A29" s="7">
        <v>47802</v>
      </c>
      <c r="B29">
        <f t="shared" si="15"/>
        <v>0.99180657449962617</v>
      </c>
      <c r="C29">
        <f t="shared" si="16"/>
        <v>9.8016450818631284</v>
      </c>
      <c r="D29">
        <f t="shared" si="17"/>
        <v>0.69999949963014874</v>
      </c>
      <c r="E29" s="6"/>
      <c r="K29" s="7">
        <f t="shared" si="7"/>
        <v>53874</v>
      </c>
      <c r="L29">
        <f t="shared" si="18"/>
        <v>0</v>
      </c>
      <c r="M29" s="5">
        <f t="shared" si="8"/>
        <v>0</v>
      </c>
      <c r="N29" s="7">
        <f t="shared" si="7"/>
        <v>53874</v>
      </c>
      <c r="O29">
        <f t="shared" si="1"/>
        <v>0</v>
      </c>
      <c r="P29" s="5">
        <f t="shared" si="9"/>
        <v>0</v>
      </c>
      <c r="Q29" s="7">
        <f t="shared" si="7"/>
        <v>53951</v>
      </c>
      <c r="R29">
        <f t="shared" si="2"/>
        <v>0</v>
      </c>
      <c r="S29" s="5">
        <f t="shared" si="10"/>
        <v>0</v>
      </c>
      <c r="T29" s="7">
        <f t="shared" si="7"/>
        <v>53646</v>
      </c>
      <c r="U29">
        <f t="shared" si="3"/>
        <v>0</v>
      </c>
      <c r="V29" s="5">
        <f t="shared" si="11"/>
        <v>0</v>
      </c>
      <c r="W29" s="7">
        <f t="shared" si="7"/>
        <v>53646</v>
      </c>
      <c r="X29">
        <f t="shared" si="4"/>
        <v>0.25</v>
      </c>
      <c r="Y29" s="5">
        <f t="shared" si="12"/>
        <v>0.10114874124840811</v>
      </c>
      <c r="Z29" s="7">
        <f t="shared" si="7"/>
        <v>53646</v>
      </c>
      <c r="AA29">
        <f t="shared" si="5"/>
        <v>0</v>
      </c>
      <c r="AB29" s="5">
        <f t="shared" si="13"/>
        <v>0</v>
      </c>
      <c r="AC29" s="7">
        <f t="shared" si="7"/>
        <v>53646</v>
      </c>
      <c r="AD29">
        <f t="shared" si="6"/>
        <v>0</v>
      </c>
      <c r="AE29" s="5">
        <f t="shared" si="14"/>
        <v>0</v>
      </c>
    </row>
    <row r="30" spans="1:31" x14ac:dyDescent="0.25">
      <c r="A30" s="7">
        <v>48030</v>
      </c>
      <c r="B30">
        <f t="shared" si="15"/>
        <v>0.99129069898334488</v>
      </c>
      <c r="C30">
        <f t="shared" si="16"/>
        <v>10.612461571849241</v>
      </c>
      <c r="D30">
        <f t="shared" si="17"/>
        <v>0.67975661940873244</v>
      </c>
      <c r="E30" s="6"/>
      <c r="K30" s="7">
        <f t="shared" si="7"/>
        <v>54240</v>
      </c>
      <c r="L30">
        <f t="shared" si="18"/>
        <v>0</v>
      </c>
      <c r="M30" s="5">
        <f t="shared" si="8"/>
        <v>0</v>
      </c>
      <c r="N30" s="7">
        <f t="shared" si="7"/>
        <v>54240</v>
      </c>
      <c r="O30">
        <f t="shared" si="1"/>
        <v>0</v>
      </c>
      <c r="P30" s="5">
        <f t="shared" si="9"/>
        <v>0</v>
      </c>
      <c r="Q30" s="7">
        <f t="shared" si="7"/>
        <v>54317</v>
      </c>
      <c r="R30">
        <f t="shared" si="2"/>
        <v>0</v>
      </c>
      <c r="S30" s="5">
        <f t="shared" si="10"/>
        <v>0</v>
      </c>
      <c r="T30" s="7">
        <f t="shared" si="7"/>
        <v>54011</v>
      </c>
      <c r="U30">
        <f t="shared" si="3"/>
        <v>0</v>
      </c>
      <c r="V30" s="5">
        <f t="shared" si="11"/>
        <v>0</v>
      </c>
      <c r="W30" s="7">
        <f t="shared" si="7"/>
        <v>54011</v>
      </c>
      <c r="X30">
        <f t="shared" si="4"/>
        <v>0.25</v>
      </c>
      <c r="Y30" s="5">
        <f t="shared" si="12"/>
        <v>9.9510257031610524E-2</v>
      </c>
      <c r="Z30" s="7">
        <f t="shared" si="7"/>
        <v>54011</v>
      </c>
      <c r="AA30">
        <f t="shared" si="5"/>
        <v>0</v>
      </c>
      <c r="AB30" s="5">
        <f t="shared" si="13"/>
        <v>0</v>
      </c>
      <c r="AC30" s="7">
        <f t="shared" si="7"/>
        <v>54011</v>
      </c>
      <c r="AD30">
        <f t="shared" si="6"/>
        <v>0</v>
      </c>
      <c r="AE30" s="5">
        <f t="shared" si="14"/>
        <v>0</v>
      </c>
    </row>
    <row r="31" spans="1:31" x14ac:dyDescent="0.25">
      <c r="A31" s="7">
        <v>48107</v>
      </c>
      <c r="B31">
        <f t="shared" si="15"/>
        <v>0.99115716811596977</v>
      </c>
      <c r="C31">
        <f t="shared" si="16"/>
        <v>10.884608644704235</v>
      </c>
      <c r="D31">
        <f t="shared" si="17"/>
        <v>0.67312111742647573</v>
      </c>
      <c r="E31" s="6"/>
      <c r="K31" s="7">
        <f t="shared" si="7"/>
        <v>54605</v>
      </c>
      <c r="L31">
        <f t="shared" si="18"/>
        <v>0</v>
      </c>
      <c r="M31" s="5">
        <f t="shared" si="8"/>
        <v>0</v>
      </c>
      <c r="N31" s="7">
        <f t="shared" si="7"/>
        <v>54605</v>
      </c>
      <c r="O31">
        <f t="shared" si="1"/>
        <v>0</v>
      </c>
      <c r="P31" s="5">
        <f t="shared" si="9"/>
        <v>0</v>
      </c>
      <c r="Q31" s="7">
        <f t="shared" si="7"/>
        <v>54682</v>
      </c>
      <c r="R31">
        <f t="shared" si="2"/>
        <v>0</v>
      </c>
      <c r="S31" s="5">
        <f t="shared" si="10"/>
        <v>0</v>
      </c>
      <c r="T31" s="7">
        <f t="shared" si="7"/>
        <v>54377</v>
      </c>
      <c r="U31">
        <f t="shared" si="3"/>
        <v>0</v>
      </c>
      <c r="V31" s="5">
        <f t="shared" si="11"/>
        <v>0</v>
      </c>
      <c r="W31" s="7">
        <f t="shared" si="7"/>
        <v>54377</v>
      </c>
      <c r="X31">
        <f t="shared" si="4"/>
        <v>0.25</v>
      </c>
      <c r="Y31" s="5">
        <f t="shared" si="12"/>
        <v>9.8139087039764678E-2</v>
      </c>
      <c r="Z31" s="7">
        <f t="shared" si="7"/>
        <v>54377</v>
      </c>
      <c r="AA31">
        <f t="shared" si="5"/>
        <v>0</v>
      </c>
      <c r="AB31" s="5">
        <f t="shared" si="13"/>
        <v>0</v>
      </c>
      <c r="AC31" s="7">
        <f t="shared" si="7"/>
        <v>54377</v>
      </c>
      <c r="AD31">
        <f t="shared" si="6"/>
        <v>0</v>
      </c>
      <c r="AE31" s="5">
        <f t="shared" si="14"/>
        <v>0</v>
      </c>
    </row>
    <row r="32" spans="1:31" x14ac:dyDescent="0.25">
      <c r="A32" s="7">
        <v>48167</v>
      </c>
      <c r="B32">
        <f t="shared" si="15"/>
        <v>0.99106868631948064</v>
      </c>
      <c r="C32">
        <f t="shared" si="16"/>
        <v>11.096085709517272</v>
      </c>
      <c r="D32">
        <f t="shared" si="17"/>
        <v>0.66801992107817088</v>
      </c>
      <c r="E32" s="6"/>
      <c r="K32" s="7">
        <f t="shared" si="7"/>
        <v>54970</v>
      </c>
      <c r="L32">
        <f t="shared" si="18"/>
        <v>0</v>
      </c>
      <c r="M32" s="5">
        <f t="shared" si="8"/>
        <v>0</v>
      </c>
      <c r="N32" s="7">
        <f t="shared" si="7"/>
        <v>54970</v>
      </c>
      <c r="O32">
        <f t="shared" si="1"/>
        <v>0</v>
      </c>
      <c r="P32" s="5">
        <f t="shared" si="9"/>
        <v>0</v>
      </c>
      <c r="Q32" s="7">
        <f t="shared" si="7"/>
        <v>55047</v>
      </c>
      <c r="R32">
        <f t="shared" si="2"/>
        <v>0</v>
      </c>
      <c r="S32" s="5">
        <f t="shared" si="10"/>
        <v>0</v>
      </c>
      <c r="T32" s="7">
        <f t="shared" si="7"/>
        <v>54742</v>
      </c>
      <c r="U32">
        <f t="shared" si="3"/>
        <v>0</v>
      </c>
      <c r="V32" s="5">
        <f t="shared" si="11"/>
        <v>0</v>
      </c>
      <c r="W32" s="7">
        <f t="shared" si="7"/>
        <v>54742</v>
      </c>
      <c r="X32">
        <f t="shared" si="4"/>
        <v>0.25</v>
      </c>
      <c r="Y32" s="5">
        <f t="shared" si="12"/>
        <v>9.7036773014529856E-2</v>
      </c>
      <c r="Z32" s="7">
        <f t="shared" si="7"/>
        <v>54742</v>
      </c>
      <c r="AA32">
        <f t="shared" si="5"/>
        <v>0</v>
      </c>
      <c r="AB32" s="5">
        <f t="shared" si="13"/>
        <v>0</v>
      </c>
      <c r="AC32" s="7">
        <f t="shared" si="7"/>
        <v>54742</v>
      </c>
      <c r="AD32">
        <f t="shared" si="6"/>
        <v>0</v>
      </c>
      <c r="AE32" s="5">
        <f t="shared" si="14"/>
        <v>0</v>
      </c>
    </row>
    <row r="33" spans="1:31" x14ac:dyDescent="0.25">
      <c r="A33" s="7">
        <v>48396</v>
      </c>
      <c r="B33">
        <f t="shared" si="15"/>
        <v>0.99086684700258554</v>
      </c>
      <c r="C33">
        <f t="shared" si="16"/>
        <v>11.898531616121419</v>
      </c>
      <c r="D33">
        <f t="shared" si="17"/>
        <v>0.64910037391565423</v>
      </c>
      <c r="E33" s="6"/>
      <c r="K33" s="7">
        <f t="shared" si="7"/>
        <v>55335</v>
      </c>
      <c r="L33">
        <f t="shared" si="18"/>
        <v>0</v>
      </c>
      <c r="M33" s="5">
        <f t="shared" si="8"/>
        <v>0</v>
      </c>
      <c r="N33" s="7">
        <f t="shared" si="7"/>
        <v>55335</v>
      </c>
      <c r="O33">
        <f t="shared" si="1"/>
        <v>0</v>
      </c>
      <c r="P33" s="5">
        <f t="shared" si="9"/>
        <v>0</v>
      </c>
      <c r="Q33" s="7">
        <f t="shared" si="7"/>
        <v>55412</v>
      </c>
      <c r="R33">
        <f t="shared" si="2"/>
        <v>0</v>
      </c>
      <c r="S33" s="5">
        <f t="shared" si="10"/>
        <v>0</v>
      </c>
      <c r="T33" s="7">
        <f t="shared" si="7"/>
        <v>55107</v>
      </c>
      <c r="U33">
        <f t="shared" si="3"/>
        <v>0</v>
      </c>
      <c r="V33" s="5">
        <f t="shared" si="11"/>
        <v>0</v>
      </c>
      <c r="W33" s="7">
        <f t="shared" si="7"/>
        <v>55107</v>
      </c>
      <c r="X33">
        <f t="shared" si="4"/>
        <v>0.25</v>
      </c>
      <c r="Y33" s="5">
        <f t="shared" si="12"/>
        <v>9.6194873633140887E-2</v>
      </c>
      <c r="Z33" s="7">
        <f t="shared" si="7"/>
        <v>55107</v>
      </c>
      <c r="AA33">
        <f t="shared" si="5"/>
        <v>0</v>
      </c>
      <c r="AB33" s="5">
        <f t="shared" si="13"/>
        <v>0</v>
      </c>
      <c r="AC33" s="7">
        <f t="shared" si="7"/>
        <v>55107</v>
      </c>
      <c r="AD33">
        <f t="shared" si="6"/>
        <v>0</v>
      </c>
      <c r="AE33" s="5">
        <f t="shared" si="14"/>
        <v>0</v>
      </c>
    </row>
    <row r="34" spans="1:31" x14ac:dyDescent="0.25">
      <c r="A34" s="7">
        <v>48473</v>
      </c>
      <c r="B34">
        <f t="shared" si="15"/>
        <v>0.99085105179257471</v>
      </c>
      <c r="C34">
        <f t="shared" si="16"/>
        <v>12.166687571681132</v>
      </c>
      <c r="D34">
        <f t="shared" si="17"/>
        <v>0.64293168790566402</v>
      </c>
      <c r="E34" s="6"/>
      <c r="K34" s="7">
        <f t="shared" si="7"/>
        <v>55701</v>
      </c>
      <c r="L34">
        <f t="shared" si="18"/>
        <v>0</v>
      </c>
      <c r="M34" s="5">
        <f t="shared" si="8"/>
        <v>0</v>
      </c>
      <c r="N34" s="7">
        <f t="shared" si="7"/>
        <v>55701</v>
      </c>
      <c r="O34">
        <f t="shared" si="1"/>
        <v>0</v>
      </c>
      <c r="P34" s="5">
        <f t="shared" si="9"/>
        <v>0</v>
      </c>
      <c r="Q34" s="7">
        <f t="shared" si="7"/>
        <v>55778</v>
      </c>
      <c r="R34">
        <f t="shared" si="2"/>
        <v>0</v>
      </c>
      <c r="S34" s="5">
        <f t="shared" si="10"/>
        <v>0</v>
      </c>
      <c r="T34" s="7">
        <f t="shared" si="7"/>
        <v>55472</v>
      </c>
      <c r="U34">
        <f t="shared" si="3"/>
        <v>0</v>
      </c>
      <c r="V34" s="5">
        <f t="shared" si="11"/>
        <v>0</v>
      </c>
      <c r="W34" s="7">
        <f t="shared" si="7"/>
        <v>55472</v>
      </c>
      <c r="X34">
        <f t="shared" si="4"/>
        <v>0.25</v>
      </c>
      <c r="Y34" s="5">
        <f t="shared" si="12"/>
        <v>9.5610701155857306E-2</v>
      </c>
      <c r="Z34" s="7">
        <f t="shared" si="7"/>
        <v>55472</v>
      </c>
      <c r="AA34">
        <f t="shared" si="5"/>
        <v>0</v>
      </c>
      <c r="AB34" s="5">
        <f t="shared" si="13"/>
        <v>0</v>
      </c>
      <c r="AC34" s="7">
        <f t="shared" si="7"/>
        <v>55472</v>
      </c>
      <c r="AD34">
        <f t="shared" si="6"/>
        <v>0</v>
      </c>
      <c r="AE34" s="5">
        <f t="shared" si="14"/>
        <v>0</v>
      </c>
    </row>
    <row r="35" spans="1:31" x14ac:dyDescent="0.25">
      <c r="A35" s="7">
        <v>48533</v>
      </c>
      <c r="B35">
        <f t="shared" si="15"/>
        <v>0.99085818647912183</v>
      </c>
      <c r="C35">
        <f t="shared" si="16"/>
        <v>12.375063262806506</v>
      </c>
      <c r="D35">
        <f t="shared" si="17"/>
        <v>0.63819119916736267</v>
      </c>
      <c r="E35" s="6"/>
      <c r="K35" s="7">
        <f t="shared" si="7"/>
        <v>56066</v>
      </c>
      <c r="L35">
        <f t="shared" si="18"/>
        <v>0</v>
      </c>
      <c r="M35" s="5">
        <f t="shared" si="8"/>
        <v>0</v>
      </c>
      <c r="N35" s="7">
        <f t="shared" si="7"/>
        <v>56066</v>
      </c>
      <c r="O35">
        <f t="shared" si="1"/>
        <v>0</v>
      </c>
      <c r="P35" s="5">
        <f t="shared" si="9"/>
        <v>0</v>
      </c>
      <c r="Q35" s="7">
        <f t="shared" si="7"/>
        <v>56143</v>
      </c>
      <c r="R35">
        <f t="shared" si="2"/>
        <v>0</v>
      </c>
      <c r="S35" s="5">
        <f t="shared" si="10"/>
        <v>0</v>
      </c>
      <c r="T35" s="7">
        <f t="shared" si="7"/>
        <v>55838</v>
      </c>
      <c r="U35">
        <f t="shared" si="3"/>
        <v>0</v>
      </c>
      <c r="V35" s="5">
        <f t="shared" si="11"/>
        <v>0</v>
      </c>
      <c r="W35" s="7">
        <f t="shared" si="7"/>
        <v>55838</v>
      </c>
      <c r="X35">
        <f t="shared" si="4"/>
        <v>100.25</v>
      </c>
      <c r="Y35" s="5">
        <f t="shared" si="12"/>
        <v>38.208364774771205</v>
      </c>
      <c r="Z35" s="7">
        <f t="shared" si="7"/>
        <v>55838</v>
      </c>
      <c r="AA35">
        <f t="shared" si="5"/>
        <v>0</v>
      </c>
      <c r="AB35" s="5">
        <f t="shared" si="13"/>
        <v>0</v>
      </c>
      <c r="AC35" s="7">
        <f t="shared" si="7"/>
        <v>55838</v>
      </c>
      <c r="AD35">
        <f t="shared" si="6"/>
        <v>0</v>
      </c>
      <c r="AE35" s="5">
        <f t="shared" si="14"/>
        <v>0</v>
      </c>
    </row>
    <row r="36" spans="1:31" x14ac:dyDescent="0.25">
      <c r="A36" s="7">
        <v>48761</v>
      </c>
      <c r="B36">
        <f t="shared" si="15"/>
        <v>0.99105062994696291</v>
      </c>
      <c r="C36">
        <f t="shared" si="16"/>
        <v>13.162304185659801</v>
      </c>
      <c r="D36">
        <f t="shared" si="17"/>
        <v>0.62069865653347989</v>
      </c>
      <c r="E36" s="6"/>
      <c r="K36" s="7">
        <f t="shared" si="7"/>
        <v>56431</v>
      </c>
      <c r="L36">
        <f t="shared" si="18"/>
        <v>0</v>
      </c>
      <c r="M36" s="5">
        <f t="shared" si="8"/>
        <v>0</v>
      </c>
      <c r="N36" s="7">
        <f t="shared" si="7"/>
        <v>56431</v>
      </c>
      <c r="O36">
        <f t="shared" si="1"/>
        <v>0</v>
      </c>
      <c r="P36" s="5">
        <f t="shared" si="9"/>
        <v>0</v>
      </c>
      <c r="Q36" s="7">
        <f t="shared" si="7"/>
        <v>56508</v>
      </c>
      <c r="R36">
        <f t="shared" si="2"/>
        <v>0</v>
      </c>
      <c r="S36" s="5">
        <f t="shared" si="10"/>
        <v>0</v>
      </c>
      <c r="T36" s="7">
        <f t="shared" si="7"/>
        <v>56203</v>
      </c>
      <c r="U36">
        <f t="shared" si="3"/>
        <v>0</v>
      </c>
      <c r="V36" s="5">
        <f t="shared" si="11"/>
        <v>0</v>
      </c>
      <c r="W36" s="7">
        <f t="shared" si="7"/>
        <v>56203</v>
      </c>
      <c r="X36">
        <f t="shared" si="4"/>
        <v>0</v>
      </c>
      <c r="Y36" s="5">
        <f t="shared" si="12"/>
        <v>0</v>
      </c>
      <c r="Z36" s="7">
        <f t="shared" si="7"/>
        <v>56203</v>
      </c>
      <c r="AA36">
        <f t="shared" si="5"/>
        <v>0</v>
      </c>
      <c r="AB36" s="5">
        <f t="shared" si="13"/>
        <v>0</v>
      </c>
      <c r="AC36" s="7">
        <f t="shared" si="7"/>
        <v>56203</v>
      </c>
      <c r="AD36">
        <f t="shared" si="6"/>
        <v>0</v>
      </c>
      <c r="AE36" s="5">
        <f t="shared" si="14"/>
        <v>0</v>
      </c>
    </row>
    <row r="37" spans="1:31" x14ac:dyDescent="0.25">
      <c r="A37" s="7">
        <v>48838</v>
      </c>
      <c r="B37">
        <f t="shared" si="15"/>
        <v>0.99117829932359036</v>
      </c>
      <c r="C37">
        <f t="shared" si="16"/>
        <v>13.4265382206507</v>
      </c>
      <c r="D37">
        <f t="shared" si="17"/>
        <v>0.61497462266350433</v>
      </c>
      <c r="E37" s="6"/>
    </row>
    <row r="38" spans="1:31" x14ac:dyDescent="0.25">
      <c r="A38" s="7">
        <v>48898</v>
      </c>
      <c r="B38">
        <f t="shared" si="15"/>
        <v>0.99130094930445822</v>
      </c>
      <c r="C38">
        <f t="shared" si="16"/>
        <v>13.631866308722234</v>
      </c>
      <c r="D38">
        <f t="shared" si="17"/>
        <v>0.61057755664837843</v>
      </c>
      <c r="E38" s="6"/>
      <c r="K38" t="s">
        <v>34</v>
      </c>
      <c r="M38" s="5">
        <f>SUM(M6:M37)</f>
        <v>100.72576774708051</v>
      </c>
      <c r="P38" s="5">
        <f>SUM(P6:P37)</f>
        <v>99.865071546667792</v>
      </c>
      <c r="S38" s="5">
        <f>SUM(S6:S37)</f>
        <v>102.49877227931567</v>
      </c>
      <c r="V38" s="5">
        <f>SUM(V6:V37)</f>
        <v>94.620320900451702</v>
      </c>
      <c r="Y38" s="5">
        <f>SUM(Y6:Y37)</f>
        <v>42.405919575549618</v>
      </c>
      <c r="AB38" s="5">
        <f>SUM(AB6:AB37)</f>
        <v>80.449725827208169</v>
      </c>
      <c r="AE38" s="5">
        <f>SUM(AE6:AE37)</f>
        <v>76.43140000192345</v>
      </c>
    </row>
    <row r="39" spans="1:31" x14ac:dyDescent="0.25">
      <c r="A39" s="7">
        <v>49126</v>
      </c>
      <c r="B39">
        <f t="shared" si="15"/>
        <v>0.99196179322654399</v>
      </c>
      <c r="C39">
        <f t="shared" si="16"/>
        <v>14.407593422898357</v>
      </c>
      <c r="D39">
        <f t="shared" si="17"/>
        <v>0.59436561618075701</v>
      </c>
      <c r="E39" s="6"/>
    </row>
    <row r="40" spans="1:31" x14ac:dyDescent="0.25">
      <c r="A40" s="7">
        <v>49203</v>
      </c>
      <c r="B40">
        <f t="shared" si="15"/>
        <v>0.99225807852107983</v>
      </c>
      <c r="C40">
        <f t="shared" si="16"/>
        <v>14.667962897452208</v>
      </c>
      <c r="D40">
        <f t="shared" si="17"/>
        <v>0.58906536412768262</v>
      </c>
      <c r="E40" s="6"/>
    </row>
    <row r="41" spans="1:31" x14ac:dyDescent="0.25">
      <c r="A41" s="7">
        <v>49263</v>
      </c>
      <c r="B41">
        <f t="shared" si="15"/>
        <v>0.99251573493947276</v>
      </c>
      <c r="C41">
        <f t="shared" si="16"/>
        <v>14.870287955252493</v>
      </c>
      <c r="D41">
        <f t="shared" si="17"/>
        <v>0.58499548512658772</v>
      </c>
      <c r="E41" s="6"/>
    </row>
    <row r="42" spans="1:31" x14ac:dyDescent="0.25">
      <c r="A42" s="7">
        <v>49491</v>
      </c>
      <c r="B42">
        <f t="shared" si="15"/>
        <v>0.99371827753138109</v>
      </c>
      <c r="C42">
        <f t="shared" si="16"/>
        <v>15.634669656202451</v>
      </c>
      <c r="D42">
        <f t="shared" si="17"/>
        <v>0.57000277953849277</v>
      </c>
      <c r="E42" s="6"/>
    </row>
    <row r="43" spans="1:31" x14ac:dyDescent="0.25">
      <c r="A43" s="7">
        <v>49568</v>
      </c>
      <c r="B43">
        <f t="shared" si="15"/>
        <v>0.99420769075675575</v>
      </c>
      <c r="C43">
        <f t="shared" si="16"/>
        <v>15.89123109152923</v>
      </c>
      <c r="D43">
        <f t="shared" si="17"/>
        <v>0.56510573992749702</v>
      </c>
      <c r="E43" s="6"/>
    </row>
    <row r="44" spans="1:31" x14ac:dyDescent="0.25">
      <c r="A44" s="7">
        <v>49628</v>
      </c>
      <c r="B44">
        <f t="shared" si="15"/>
        <v>0.99461938071048739</v>
      </c>
      <c r="C44">
        <f t="shared" si="16"/>
        <v>16.090597039940651</v>
      </c>
      <c r="D44">
        <f t="shared" si="17"/>
        <v>0.56134708679789391</v>
      </c>
      <c r="E44" s="6"/>
    </row>
    <row r="45" spans="1:31" x14ac:dyDescent="0.25">
      <c r="A45" s="7">
        <v>49857</v>
      </c>
      <c r="B45">
        <f t="shared" si="15"/>
        <v>0.99644430399726025</v>
      </c>
      <c r="C45">
        <f t="shared" si="16"/>
        <v>16.847087533888189</v>
      </c>
      <c r="D45">
        <f t="shared" si="17"/>
        <v>0.54745446245737639</v>
      </c>
      <c r="E45" s="6"/>
    </row>
    <row r="46" spans="1:31" x14ac:dyDescent="0.25">
      <c r="A46" s="7">
        <v>49934</v>
      </c>
      <c r="B46">
        <f t="shared" si="15"/>
        <v>0.99715158564024975</v>
      </c>
      <c r="C46">
        <f t="shared" si="16"/>
        <v>17.099886419902585</v>
      </c>
      <c r="D46">
        <f t="shared" si="17"/>
        <v>0.54294164041510129</v>
      </c>
      <c r="E46" s="6"/>
    </row>
    <row r="47" spans="1:31" x14ac:dyDescent="0.25">
      <c r="A47" s="7">
        <v>49994</v>
      </c>
      <c r="B47">
        <f t="shared" si="15"/>
        <v>0.9977365601883913</v>
      </c>
      <c r="C47">
        <f t="shared" si="16"/>
        <v>17.296328607729539</v>
      </c>
      <c r="D47">
        <f t="shared" si="17"/>
        <v>0.53947950317437754</v>
      </c>
      <c r="E47" s="6"/>
    </row>
    <row r="48" spans="1:31" x14ac:dyDescent="0.25">
      <c r="A48" s="7">
        <v>50222</v>
      </c>
      <c r="B48">
        <f t="shared" si="15"/>
        <v>1.0002391642387773</v>
      </c>
      <c r="C48">
        <f t="shared" si="16"/>
        <v>18.03848489475611</v>
      </c>
      <c r="D48">
        <f t="shared" si="17"/>
        <v>0.52675011795663096</v>
      </c>
      <c r="E48" s="6"/>
    </row>
    <row r="49" spans="1:5" x14ac:dyDescent="0.25">
      <c r="A49" s="7">
        <v>50299</v>
      </c>
      <c r="B49">
        <f t="shared" si="15"/>
        <v>1.0011877188865503</v>
      </c>
      <c r="C49">
        <f t="shared" si="16"/>
        <v>18.287586465345374</v>
      </c>
      <c r="D49">
        <f t="shared" si="17"/>
        <v>0.52260117123104188</v>
      </c>
      <c r="E49" s="6"/>
    </row>
    <row r="50" spans="1:5" x14ac:dyDescent="0.25">
      <c r="A50" s="7">
        <v>50359</v>
      </c>
      <c r="B50">
        <f t="shared" si="15"/>
        <v>1.0019642073696033</v>
      </c>
      <c r="C50">
        <f t="shared" si="16"/>
        <v>18.481155583822002</v>
      </c>
      <c r="D50">
        <f t="shared" si="17"/>
        <v>0.51941983085514465</v>
      </c>
      <c r="E50" s="6"/>
    </row>
    <row r="51" spans="1:5" x14ac:dyDescent="0.25">
      <c r="A51" s="7">
        <v>50587</v>
      </c>
      <c r="B51">
        <f t="shared" si="15"/>
        <v>1.0052226743578152</v>
      </c>
      <c r="C51">
        <f t="shared" si="16"/>
        <v>19.212457448461073</v>
      </c>
      <c r="D51">
        <f t="shared" si="17"/>
        <v>0.50773593537907125</v>
      </c>
    </row>
    <row r="52" spans="1:5" x14ac:dyDescent="0.25">
      <c r="A52" s="7">
        <v>50664</v>
      </c>
      <c r="B52">
        <f t="shared" si="15"/>
        <v>1.0064365922560135</v>
      </c>
      <c r="C52">
        <f t="shared" si="16"/>
        <v>19.457915778789715</v>
      </c>
      <c r="D52">
        <f t="shared" si="17"/>
        <v>0.50393250421961</v>
      </c>
    </row>
    <row r="53" spans="1:5" x14ac:dyDescent="0.25">
      <c r="A53" s="7">
        <v>50724</v>
      </c>
      <c r="B53">
        <f t="shared" si="15"/>
        <v>1.0074234082924447</v>
      </c>
      <c r="C53">
        <f t="shared" si="16"/>
        <v>19.648653848052248</v>
      </c>
      <c r="D53">
        <f t="shared" si="17"/>
        <v>0.50101779784111089</v>
      </c>
    </row>
    <row r="54" spans="1:5" x14ac:dyDescent="0.25">
      <c r="A54" s="7">
        <v>50952</v>
      </c>
      <c r="B54">
        <f t="shared" si="15"/>
        <v>1.0115096766941907</v>
      </c>
      <c r="C54">
        <f t="shared" si="16"/>
        <v>20.369260041886765</v>
      </c>
      <c r="D54">
        <f t="shared" si="17"/>
        <v>0.49032676134999714</v>
      </c>
    </row>
    <row r="55" spans="1:5" x14ac:dyDescent="0.25">
      <c r="A55" s="7">
        <v>51029</v>
      </c>
      <c r="B55">
        <f t="shared" si="15"/>
        <v>1.0130134530107415</v>
      </c>
      <c r="C55">
        <f t="shared" si="16"/>
        <v>20.611128416241854</v>
      </c>
      <c r="D55">
        <f t="shared" si="17"/>
        <v>0.48685151016446071</v>
      </c>
    </row>
    <row r="56" spans="1:5" x14ac:dyDescent="0.25">
      <c r="A56" s="7">
        <v>51089</v>
      </c>
      <c r="B56">
        <f t="shared" si="15"/>
        <v>1.0142297681431098</v>
      </c>
      <c r="C56">
        <f t="shared" si="16"/>
        <v>20.799076841860135</v>
      </c>
      <c r="D56">
        <f t="shared" si="17"/>
        <v>0.48419008758422982</v>
      </c>
    </row>
    <row r="57" spans="1:5" x14ac:dyDescent="0.25">
      <c r="A57" s="7">
        <v>51318</v>
      </c>
      <c r="B57">
        <f t="shared" si="15"/>
        <v>1.0192406599467858</v>
      </c>
      <c r="C57">
        <f t="shared" si="16"/>
        <v>21.512243751583441</v>
      </c>
      <c r="D57">
        <f t="shared" si="17"/>
        <v>0.47440097961432248</v>
      </c>
    </row>
    <row r="58" spans="1:5" x14ac:dyDescent="0.25">
      <c r="A58" s="7">
        <v>51395</v>
      </c>
      <c r="B58">
        <f t="shared" si="15"/>
        <v>1.0210603894399519</v>
      </c>
      <c r="C58">
        <f t="shared" si="16"/>
        <v>21.750565054709938</v>
      </c>
      <c r="D58">
        <f t="shared" si="17"/>
        <v>0.47123851921939203</v>
      </c>
    </row>
    <row r="59" spans="1:5" x14ac:dyDescent="0.25">
      <c r="A59" s="7">
        <v>51455</v>
      </c>
      <c r="B59">
        <f t="shared" si="15"/>
        <v>1.0225266767986743</v>
      </c>
      <c r="C59">
        <f t="shared" si="16"/>
        <v>21.93575716109158</v>
      </c>
      <c r="D59">
        <f t="shared" si="17"/>
        <v>0.46881855172800851</v>
      </c>
    </row>
    <row r="60" spans="1:5" x14ac:dyDescent="0.25">
      <c r="A60" s="7">
        <v>51683</v>
      </c>
      <c r="B60">
        <f t="shared" si="15"/>
        <v>1.0284948714878022</v>
      </c>
      <c r="C60">
        <f t="shared" si="16"/>
        <v>22.635410772055746</v>
      </c>
      <c r="D60">
        <f t="shared" si="17"/>
        <v>0.4599707358463837</v>
      </c>
    </row>
    <row r="61" spans="1:5" x14ac:dyDescent="0.25">
      <c r="A61" s="7">
        <v>51760</v>
      </c>
      <c r="B61">
        <f t="shared" si="15"/>
        <v>1.0306559380800833</v>
      </c>
      <c r="C61">
        <f t="shared" si="16"/>
        <v>22.870246501950174</v>
      </c>
      <c r="D61">
        <f t="shared" si="17"/>
        <v>0.45710514840890365</v>
      </c>
    </row>
    <row r="62" spans="1:5" x14ac:dyDescent="0.25">
      <c r="A62" s="7">
        <v>51820</v>
      </c>
      <c r="B62">
        <f t="shared" si="15"/>
        <v>1.0323921435068653</v>
      </c>
      <c r="C62">
        <f t="shared" si="16"/>
        <v>23.052730077284323</v>
      </c>
      <c r="D62">
        <f t="shared" si="17"/>
        <v>0.45491441558213225</v>
      </c>
    </row>
    <row r="63" spans="1:5" x14ac:dyDescent="0.25">
      <c r="A63" s="7">
        <v>52048</v>
      </c>
      <c r="B63">
        <f t="shared" si="15"/>
        <v>1.0394180713415746</v>
      </c>
      <c r="C63">
        <f t="shared" si="16"/>
        <v>23.742150889643799</v>
      </c>
      <c r="D63">
        <f t="shared" si="17"/>
        <v>0.44692143771614162</v>
      </c>
    </row>
    <row r="64" spans="1:5" x14ac:dyDescent="0.25">
      <c r="A64" s="7">
        <v>52125</v>
      </c>
      <c r="B64">
        <f t="shared" si="15"/>
        <v>1.0419480313026857</v>
      </c>
      <c r="C64">
        <f t="shared" si="16"/>
        <v>23.973552024630781</v>
      </c>
      <c r="D64">
        <f t="shared" si="17"/>
        <v>0.44433890579419644</v>
      </c>
    </row>
    <row r="65" spans="1:4" x14ac:dyDescent="0.25">
      <c r="A65" s="7">
        <v>52185</v>
      </c>
      <c r="B65">
        <f t="shared" si="15"/>
        <v>1.0439758535261892</v>
      </c>
      <c r="C65">
        <f t="shared" si="16"/>
        <v>24.153366682595262</v>
      </c>
      <c r="D65">
        <f t="shared" si="17"/>
        <v>0.44236682283425788</v>
      </c>
    </row>
    <row r="66" spans="1:4" x14ac:dyDescent="0.25">
      <c r="A66" s="7">
        <v>52413</v>
      </c>
      <c r="B66">
        <f t="shared" si="15"/>
        <v>1.0521439168879685</v>
      </c>
      <c r="C66">
        <f t="shared" si="16"/>
        <v>24.832704356361287</v>
      </c>
      <c r="D66">
        <f t="shared" si="17"/>
        <v>0.43518992595730327</v>
      </c>
    </row>
    <row r="67" spans="1:4" x14ac:dyDescent="0.25">
      <c r="A67" s="7">
        <v>52490</v>
      </c>
      <c r="B67">
        <f t="shared" si="15"/>
        <v>1.0550720218446124</v>
      </c>
      <c r="C67">
        <f t="shared" si="16"/>
        <v>25.06072112918088</v>
      </c>
      <c r="D67">
        <f t="shared" si="17"/>
        <v>0.43287788809380062</v>
      </c>
    </row>
    <row r="68" spans="1:4" x14ac:dyDescent="0.25">
      <c r="A68" s="7">
        <v>52550</v>
      </c>
      <c r="B68">
        <f t="shared" si="15"/>
        <v>1.0574145340842107</v>
      </c>
      <c r="C68">
        <f t="shared" si="16"/>
        <v>25.237905904082819</v>
      </c>
      <c r="D68">
        <f t="shared" si="17"/>
        <v>0.431114852589909</v>
      </c>
    </row>
    <row r="69" spans="1:4" x14ac:dyDescent="0.25">
      <c r="A69" s="7">
        <v>52779</v>
      </c>
      <c r="B69">
        <f t="shared" si="15"/>
        <v>1.0668577989149579</v>
      </c>
      <c r="C69">
        <f t="shared" si="16"/>
        <v>25.910230335379055</v>
      </c>
      <c r="D69">
        <f t="shared" si="17"/>
        <v>0.42469203474488648</v>
      </c>
    </row>
    <row r="70" spans="1:4" x14ac:dyDescent="0.25">
      <c r="A70" s="7">
        <v>52856</v>
      </c>
      <c r="B70">
        <f t="shared" si="15"/>
        <v>1.0702165939513848</v>
      </c>
      <c r="C70">
        <f t="shared" si="16"/>
        <v>26.134903174802389</v>
      </c>
      <c r="D70">
        <f t="shared" si="17"/>
        <v>0.42263990300593685</v>
      </c>
    </row>
    <row r="71" spans="1:4" x14ac:dyDescent="0.25">
      <c r="A71" s="7">
        <v>52916</v>
      </c>
      <c r="B71">
        <f t="shared" si="15"/>
        <v>1.0728995068314608</v>
      </c>
      <c r="C71">
        <f t="shared" si="16"/>
        <v>26.309489482588173</v>
      </c>
      <c r="D71">
        <f t="shared" si="17"/>
        <v>0.421077848915826</v>
      </c>
    </row>
    <row r="72" spans="1:4" x14ac:dyDescent="0.25">
      <c r="A72" s="7">
        <v>53144</v>
      </c>
      <c r="B72">
        <f t="shared" si="15"/>
        <v>1.083632633514569</v>
      </c>
      <c r="C72">
        <f t="shared" si="16"/>
        <v>26.969074510556386</v>
      </c>
      <c r="D72">
        <f t="shared" si="17"/>
        <v>0.41543394592100047</v>
      </c>
    </row>
    <row r="73" spans="1:4" x14ac:dyDescent="0.25">
      <c r="A73" s="7">
        <v>53221</v>
      </c>
      <c r="B73">
        <f t="shared" ref="B73:B100" si="19">EXP((C73-(A73-$I$1)/252)*($B$1^2*$B$2-$B$3^2/2)/($B$1^2)-$B$3^2*C73^2/(4*$B$1))</f>
        <v>1.0874547938080179</v>
      </c>
      <c r="C73">
        <f t="shared" ref="C73:C100" si="20">(1-EXP(-$B$1*(A73-$I$1)/252))/$B$1</f>
        <v>27.190461392640639</v>
      </c>
      <c r="D73">
        <f t="shared" ref="D73:D100" si="21">B73*EXP(-C73*$B$4)</f>
        <v>0.4136310077136805</v>
      </c>
    </row>
    <row r="74" spans="1:4" x14ac:dyDescent="0.25">
      <c r="A74" s="7">
        <v>53281</v>
      </c>
      <c r="B74">
        <f t="shared" si="19"/>
        <v>1.0905039554491387</v>
      </c>
      <c r="C74">
        <f t="shared" si="20"/>
        <v>27.362494284709395</v>
      </c>
      <c r="D74">
        <f t="shared" si="21"/>
        <v>0.41226178209302444</v>
      </c>
    </row>
    <row r="75" spans="1:4" x14ac:dyDescent="0.25">
      <c r="A75" s="7">
        <v>53509</v>
      </c>
      <c r="B75">
        <f t="shared" si="19"/>
        <v>1.1026714345988451</v>
      </c>
      <c r="C75">
        <f t="shared" si="20"/>
        <v>28.01243253797638</v>
      </c>
      <c r="D75">
        <f t="shared" si="21"/>
        <v>0.40734036546594748</v>
      </c>
    </row>
    <row r="76" spans="1:4" x14ac:dyDescent="0.25">
      <c r="A76" s="7">
        <v>53586</v>
      </c>
      <c r="B76">
        <f t="shared" si="19"/>
        <v>1.1069936872347772</v>
      </c>
      <c r="C76">
        <f t="shared" si="20"/>
        <v>28.230581521559742</v>
      </c>
      <c r="D76">
        <f t="shared" si="21"/>
        <v>0.40577793709996568</v>
      </c>
    </row>
    <row r="77" spans="1:4" x14ac:dyDescent="0.25">
      <c r="A77" s="7">
        <v>53646</v>
      </c>
      <c r="B77">
        <f t="shared" si="19"/>
        <v>1.1104381835262234</v>
      </c>
      <c r="C77">
        <f t="shared" si="20"/>
        <v>28.400098342946755</v>
      </c>
      <c r="D77">
        <f t="shared" si="21"/>
        <v>0.40459496499363246</v>
      </c>
    </row>
    <row r="78" spans="1:4" x14ac:dyDescent="0.25">
      <c r="A78" s="7">
        <v>53874</v>
      </c>
      <c r="B78">
        <f t="shared" si="19"/>
        <v>1.1241544676452664</v>
      </c>
      <c r="C78">
        <f t="shared" si="20"/>
        <v>29.040530910618823</v>
      </c>
      <c r="D78">
        <f t="shared" si="21"/>
        <v>0.40037258412063276</v>
      </c>
    </row>
    <row r="79" spans="1:4" x14ac:dyDescent="0.25">
      <c r="A79" s="7">
        <v>53951</v>
      </c>
      <c r="B79">
        <f t="shared" si="19"/>
        <v>1.1290169405162644</v>
      </c>
      <c r="C79">
        <f t="shared" si="20"/>
        <v>29.255489351653914</v>
      </c>
      <c r="D79">
        <f t="shared" si="21"/>
        <v>0.39904329607607009</v>
      </c>
    </row>
    <row r="80" spans="1:4" x14ac:dyDescent="0.25">
      <c r="A80" s="7">
        <v>54011</v>
      </c>
      <c r="B80">
        <f t="shared" si="19"/>
        <v>1.1328885817563039</v>
      </c>
      <c r="C80">
        <f t="shared" si="20"/>
        <v>29.42252690120387</v>
      </c>
      <c r="D80">
        <f t="shared" si="21"/>
        <v>0.3980410281264421</v>
      </c>
    </row>
    <row r="81" spans="1:4" x14ac:dyDescent="0.25">
      <c r="A81" s="7">
        <v>54240</v>
      </c>
      <c r="B81">
        <f t="shared" si="19"/>
        <v>1.1483490079247112</v>
      </c>
      <c r="C81">
        <f t="shared" si="20"/>
        <v>30.05634786899553</v>
      </c>
      <c r="D81">
        <f t="shared" si="21"/>
        <v>0.39448352504551715</v>
      </c>
    </row>
    <row r="82" spans="1:4" x14ac:dyDescent="0.25">
      <c r="A82" s="7">
        <v>54317</v>
      </c>
      <c r="B82">
        <f t="shared" si="19"/>
        <v>1.153797425086738</v>
      </c>
      <c r="C82">
        <f t="shared" si="20"/>
        <v>30.268153880931248</v>
      </c>
      <c r="D82">
        <f t="shared" si="21"/>
        <v>0.3933819487506095</v>
      </c>
    </row>
    <row r="83" spans="1:4" x14ac:dyDescent="0.25">
      <c r="A83" s="7">
        <v>54377</v>
      </c>
      <c r="B83">
        <f t="shared" si="19"/>
        <v>1.1581324840408269</v>
      </c>
      <c r="C83">
        <f t="shared" si="20"/>
        <v>30.432741775425288</v>
      </c>
      <c r="D83">
        <f t="shared" si="21"/>
        <v>0.39255634815905871</v>
      </c>
    </row>
    <row r="84" spans="1:4" x14ac:dyDescent="0.25">
      <c r="A84" s="7">
        <v>54605</v>
      </c>
      <c r="B84">
        <f t="shared" si="19"/>
        <v>1.1753404359371069</v>
      </c>
      <c r="C84">
        <f t="shared" si="20"/>
        <v>31.054552914969459</v>
      </c>
      <c r="D84">
        <f t="shared" si="21"/>
        <v>0.38967917064525898</v>
      </c>
    </row>
    <row r="85" spans="1:4" x14ac:dyDescent="0.25">
      <c r="A85" s="7">
        <v>54682</v>
      </c>
      <c r="B85">
        <f t="shared" si="19"/>
        <v>1.1814218485080679</v>
      </c>
      <c r="C85">
        <f t="shared" si="20"/>
        <v>31.26326115362216</v>
      </c>
      <c r="D85">
        <f t="shared" si="21"/>
        <v>0.38879997739036698</v>
      </c>
    </row>
    <row r="86" spans="1:4" x14ac:dyDescent="0.25">
      <c r="A86" s="7">
        <v>54742</v>
      </c>
      <c r="B86">
        <f t="shared" si="19"/>
        <v>1.1862576861891463</v>
      </c>
      <c r="C86">
        <f t="shared" si="20"/>
        <v>31.425441864403112</v>
      </c>
      <c r="D86">
        <f t="shared" si="21"/>
        <v>0.38814709205811943</v>
      </c>
    </row>
    <row r="87" spans="1:4" x14ac:dyDescent="0.25">
      <c r="A87" s="7">
        <v>54970</v>
      </c>
      <c r="B87">
        <f t="shared" si="19"/>
        <v>1.2054308853450559</v>
      </c>
      <c r="C87">
        <f t="shared" si="20"/>
        <v>32.038158692045783</v>
      </c>
      <c r="D87">
        <f t="shared" si="21"/>
        <v>0.38592221040406</v>
      </c>
    </row>
    <row r="88" spans="1:4" x14ac:dyDescent="0.25">
      <c r="A88" s="7">
        <v>55047</v>
      </c>
      <c r="B88">
        <f t="shared" si="19"/>
        <v>1.2121990561555733</v>
      </c>
      <c r="C88">
        <f t="shared" si="20"/>
        <v>32.243814463963808</v>
      </c>
      <c r="D88">
        <f t="shared" si="21"/>
        <v>0.38526206333014607</v>
      </c>
    </row>
    <row r="89" spans="1:4" x14ac:dyDescent="0.25">
      <c r="A89" s="7">
        <v>55107</v>
      </c>
      <c r="B89">
        <f t="shared" si="19"/>
        <v>1.2175783832784417</v>
      </c>
      <c r="C89">
        <f t="shared" si="20"/>
        <v>32.403623197347677</v>
      </c>
      <c r="D89">
        <f t="shared" si="21"/>
        <v>0.38477949453256355</v>
      </c>
    </row>
    <row r="90" spans="1:4" x14ac:dyDescent="0.25">
      <c r="A90" s="7">
        <v>55335</v>
      </c>
      <c r="B90">
        <f t="shared" si="19"/>
        <v>1.2388859558331948</v>
      </c>
      <c r="C90">
        <f t="shared" si="20"/>
        <v>33.007378722138881</v>
      </c>
      <c r="D90">
        <f t="shared" si="21"/>
        <v>0.38319941462090795</v>
      </c>
    </row>
    <row r="91" spans="1:4" x14ac:dyDescent="0.25">
      <c r="A91" s="7">
        <v>55412</v>
      </c>
      <c r="B91">
        <f t="shared" si="19"/>
        <v>1.2464005521878954</v>
      </c>
      <c r="C91">
        <f t="shared" si="20"/>
        <v>33.210026671238658</v>
      </c>
      <c r="D91">
        <f t="shared" si="21"/>
        <v>0.38275636726849754</v>
      </c>
    </row>
    <row r="92" spans="1:4" x14ac:dyDescent="0.25">
      <c r="A92" s="7">
        <v>55472</v>
      </c>
      <c r="B92">
        <f t="shared" si="19"/>
        <v>1.2523707948166494</v>
      </c>
      <c r="C92">
        <f t="shared" si="20"/>
        <v>33.367498118630763</v>
      </c>
      <c r="D92">
        <f t="shared" si="21"/>
        <v>0.38244280462342922</v>
      </c>
    </row>
    <row r="93" spans="1:4" x14ac:dyDescent="0.25">
      <c r="A93" s="7">
        <v>55701</v>
      </c>
      <c r="B93">
        <f t="shared" si="19"/>
        <v>1.2761077409574786</v>
      </c>
      <c r="C93">
        <f t="shared" si="20"/>
        <v>33.965020684392393</v>
      </c>
      <c r="D93">
        <f t="shared" si="21"/>
        <v>0.381500976935985</v>
      </c>
    </row>
    <row r="94" spans="1:4" x14ac:dyDescent="0.25">
      <c r="A94" s="7">
        <v>55778</v>
      </c>
      <c r="B94">
        <f t="shared" si="19"/>
        <v>1.2844374817193307</v>
      </c>
      <c r="C94">
        <f t="shared" si="20"/>
        <v>34.164696741397123</v>
      </c>
      <c r="D94">
        <f t="shared" si="21"/>
        <v>0.38127510499163186</v>
      </c>
    </row>
    <row r="95" spans="1:4" x14ac:dyDescent="0.25">
      <c r="A95" s="7">
        <v>55838</v>
      </c>
      <c r="B95">
        <f t="shared" si="19"/>
        <v>1.2910532779910493</v>
      </c>
      <c r="C95">
        <f t="shared" si="20"/>
        <v>34.319858823450097</v>
      </c>
      <c r="D95">
        <f t="shared" si="21"/>
        <v>0.38113082069597209</v>
      </c>
    </row>
    <row r="96" spans="1:4" x14ac:dyDescent="0.25">
      <c r="A96" s="7">
        <v>56066</v>
      </c>
      <c r="B96">
        <f t="shared" si="19"/>
        <v>1.3172223118161204</v>
      </c>
      <c r="C96">
        <f t="shared" si="20"/>
        <v>34.90605935388399</v>
      </c>
      <c r="D96">
        <f t="shared" si="21"/>
        <v>0.3808364733360608</v>
      </c>
    </row>
    <row r="97" spans="1:4" x14ac:dyDescent="0.25">
      <c r="A97" s="7">
        <v>56143</v>
      </c>
      <c r="B97">
        <f t="shared" si="19"/>
        <v>1.3264391350145925</v>
      </c>
      <c r="C97">
        <f t="shared" si="20"/>
        <v>35.102815044516724</v>
      </c>
      <c r="D97">
        <f t="shared" si="21"/>
        <v>0.38082814630374684</v>
      </c>
    </row>
    <row r="98" spans="1:4" x14ac:dyDescent="0.25">
      <c r="A98" s="7">
        <v>56203</v>
      </c>
      <c r="B98">
        <f t="shared" si="19"/>
        <v>1.3337577210503733</v>
      </c>
      <c r="C98">
        <f t="shared" si="20"/>
        <v>35.255707800274728</v>
      </c>
      <c r="D98">
        <f t="shared" si="21"/>
        <v>0.38085364949713563</v>
      </c>
    </row>
    <row r="99" spans="1:4" x14ac:dyDescent="0.25">
      <c r="A99" s="7">
        <v>56431</v>
      </c>
      <c r="B99">
        <f t="shared" si="19"/>
        <v>1.3626931909237934</v>
      </c>
      <c r="C99">
        <f t="shared" si="20"/>
        <v>35.833334842519761</v>
      </c>
      <c r="D99">
        <f t="shared" si="21"/>
        <v>0.38120727434052004</v>
      </c>
    </row>
    <row r="100" spans="1:4" x14ac:dyDescent="0.25">
      <c r="A100" s="7">
        <v>56508</v>
      </c>
      <c r="B100">
        <f t="shared" si="19"/>
        <v>1.3728798763316492</v>
      </c>
      <c r="C100">
        <f t="shared" si="20"/>
        <v>36.027212878660301</v>
      </c>
      <c r="D100">
        <f t="shared" si="21"/>
        <v>0.38141899457888884</v>
      </c>
    </row>
  </sheetData>
  <autoFilter ref="A7:D100" xr:uid="{81D2B97A-EFA8-4F3C-B4C5-2928A47A2EEE}">
    <sortState xmlns:xlrd2="http://schemas.microsoft.com/office/spreadsheetml/2017/richdata2" ref="A8:D100">
      <sortCondition ref="A7:A10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E469-286C-43A5-8CF5-131E56FEC6E0}">
  <dimension ref="A1:W49"/>
  <sheetViews>
    <sheetView workbookViewId="0">
      <selection activeCell="W1" sqref="W1:W7"/>
    </sheetView>
  </sheetViews>
  <sheetFormatPr defaultRowHeight="15" x14ac:dyDescent="0.25"/>
  <cols>
    <col min="1" max="1" width="13.5703125" bestFit="1" customWidth="1"/>
    <col min="2" max="2" width="11.5703125" bestFit="1" customWidth="1"/>
    <col min="4" max="4" width="10.42578125" bestFit="1" customWidth="1"/>
    <col min="6" max="6" width="19.42578125" bestFit="1" customWidth="1"/>
    <col min="8" max="15" width="10.42578125" bestFit="1" customWidth="1"/>
    <col min="22" max="22" width="10.140625" bestFit="1" customWidth="1"/>
  </cols>
  <sheetData>
    <row r="1" spans="1:23" x14ac:dyDescent="0.25">
      <c r="A1" t="s">
        <v>27</v>
      </c>
      <c r="B1" s="7">
        <v>45201</v>
      </c>
      <c r="H1" t="s">
        <v>28</v>
      </c>
      <c r="I1" s="8" cm="1">
        <f t="array" ref="I1:O1">TRANSPOSE(B4:B10)</f>
        <v>0</v>
      </c>
      <c r="J1" s="8">
        <v>1.7500000000000002E-2</v>
      </c>
      <c r="K1" s="8">
        <v>2.2499999999999999E-2</v>
      </c>
      <c r="L1" s="8">
        <v>5.0000000000000001E-3</v>
      </c>
      <c r="M1" s="8">
        <v>5.0000000000000001E-3</v>
      </c>
      <c r="N1" s="8">
        <v>2.2499999999999999E-2</v>
      </c>
      <c r="O1" s="8">
        <v>2.5000000000000001E-3</v>
      </c>
      <c r="V1" t="s">
        <v>29</v>
      </c>
      <c r="W1" t="s">
        <v>30</v>
      </c>
    </row>
    <row r="2" spans="1:23" x14ac:dyDescent="0.25">
      <c r="H2" t="s">
        <v>25</v>
      </c>
      <c r="I2" s="7" cm="1">
        <f t="array" ref="I2:O2">TRANSPOSE(D4:D10)</f>
        <v>45611</v>
      </c>
      <c r="J2" s="7">
        <v>45976</v>
      </c>
      <c r="K2" s="7">
        <v>46341</v>
      </c>
      <c r="L2" s="7">
        <v>46706</v>
      </c>
      <c r="M2" s="7">
        <v>47437</v>
      </c>
      <c r="N2" s="7">
        <v>48898</v>
      </c>
      <c r="O2" s="7">
        <v>55838</v>
      </c>
      <c r="Q2" t="s">
        <v>31</v>
      </c>
      <c r="U2" t="s">
        <v>32</v>
      </c>
      <c r="V2">
        <v>2.9643024194775887E-2</v>
      </c>
      <c r="W2" s="9">
        <v>0.02</v>
      </c>
    </row>
    <row r="3" spans="1:23" x14ac:dyDescent="0.25">
      <c r="A3" t="s">
        <v>33</v>
      </c>
      <c r="B3" t="s">
        <v>26</v>
      </c>
      <c r="C3" s="10" t="s">
        <v>34</v>
      </c>
      <c r="D3" t="s">
        <v>35</v>
      </c>
      <c r="E3" t="s">
        <v>36</v>
      </c>
      <c r="F3" t="s">
        <v>37</v>
      </c>
      <c r="H3" t="s">
        <v>38</v>
      </c>
      <c r="I3" t="str" cm="1">
        <f t="array" ref="I3:O3">TRANSPOSE(A4:A10)</f>
        <v>DK0009924292</v>
      </c>
      <c r="J3" t="str">
        <v>DK0009923138</v>
      </c>
      <c r="K3" t="str">
        <v>DK0009924888</v>
      </c>
      <c r="L3" t="str">
        <v>DK0009923567</v>
      </c>
      <c r="M3" t="str">
        <v>DK0009923807</v>
      </c>
      <c r="N3" t="str">
        <v>DK0009924532</v>
      </c>
      <c r="O3" t="str">
        <v>DK0009924029</v>
      </c>
      <c r="Q3" t="s">
        <v>6</v>
      </c>
      <c r="R3" t="s">
        <v>39</v>
      </c>
      <c r="S3" t="s">
        <v>40</v>
      </c>
      <c r="U3" t="s">
        <v>41</v>
      </c>
      <c r="V3">
        <v>3.6645123035599594E-2</v>
      </c>
      <c r="W3">
        <v>5.0000000000000001E-3</v>
      </c>
    </row>
    <row r="4" spans="1:23" x14ac:dyDescent="0.25">
      <c r="A4" t="s">
        <v>42</v>
      </c>
      <c r="B4" s="12">
        <v>0</v>
      </c>
      <c r="C4" s="4">
        <v>96.38</v>
      </c>
      <c r="D4" s="7">
        <v>45611</v>
      </c>
      <c r="E4" s="6">
        <f t="shared" ref="E4:E10" si="0">(1-($H$4-$B$1)/365)*B4*100</f>
        <v>0</v>
      </c>
      <c r="F4" s="6">
        <f t="shared" ref="F4:F10" si="1">C4+E4</f>
        <v>96.38</v>
      </c>
      <c r="H4" s="7">
        <v>45245</v>
      </c>
      <c r="I4">
        <f>IF($H4&gt;I$2,0,IF($H4=I$2,1+I$1,I$1)*100)</f>
        <v>0</v>
      </c>
      <c r="J4">
        <f t="shared" ref="J4:O19" si="2">IF($H4&gt;J$2,0,IF($H4=J$2,1+J$1,J$1)*100)</f>
        <v>1.7500000000000002</v>
      </c>
      <c r="K4">
        <f t="shared" si="2"/>
        <v>2.25</v>
      </c>
      <c r="L4">
        <f t="shared" si="2"/>
        <v>0.5</v>
      </c>
      <c r="M4">
        <f t="shared" si="2"/>
        <v>0.5</v>
      </c>
      <c r="N4">
        <f t="shared" si="2"/>
        <v>2.25</v>
      </c>
      <c r="O4">
        <f t="shared" si="2"/>
        <v>0.25</v>
      </c>
      <c r="Q4" s="11">
        <f t="shared" ref="Q4:Q33" si="3">(H4-$B$1)/365</f>
        <v>0.12054794520547946</v>
      </c>
      <c r="R4" s="12">
        <f>$V$2+$V$3*(1-EXP(-Q4/$V$5))*$V$5/Q4+$V$4*((1-EXP(-Q4/$V$5))*$V$5/Q4-EXP(-Q4/$V$5))+$V$6*((1-EXP(-Q4/$V$7))*$V$7/Q4-EXP(-Q4/$V$7))</f>
        <v>6.0741430253341305E-2</v>
      </c>
      <c r="S4">
        <f>(1+R4)^-Q4</f>
        <v>0.99291671909390311</v>
      </c>
      <c r="U4" t="s">
        <v>43</v>
      </c>
      <c r="V4">
        <v>-8.3602694065702157E-2</v>
      </c>
      <c r="W4">
        <v>0.02</v>
      </c>
    </row>
    <row r="5" spans="1:23" x14ac:dyDescent="0.25">
      <c r="A5" t="s">
        <v>44</v>
      </c>
      <c r="B5" s="12">
        <v>1.7500000000000002E-2</v>
      </c>
      <c r="C5" s="4">
        <v>97.13</v>
      </c>
      <c r="D5" s="7">
        <v>45976</v>
      </c>
      <c r="E5" s="6">
        <f t="shared" si="0"/>
        <v>1.5390410958904113</v>
      </c>
      <c r="F5" s="6">
        <f t="shared" si="1"/>
        <v>98.669041095890407</v>
      </c>
      <c r="H5" s="7">
        <f>DATE(YEAR(H4)+1,MONTH(H4),DAY(H4))</f>
        <v>45611</v>
      </c>
      <c r="I5">
        <f t="shared" ref="I5:O33" si="4">IF($H5&gt;I$2,0,IF($H5=I$2,1+I$1,I$1)*100)</f>
        <v>100</v>
      </c>
      <c r="J5">
        <f t="shared" si="2"/>
        <v>1.7500000000000002</v>
      </c>
      <c r="K5">
        <f t="shared" si="2"/>
        <v>2.25</v>
      </c>
      <c r="L5">
        <f t="shared" si="2"/>
        <v>0.5</v>
      </c>
      <c r="M5">
        <f t="shared" si="2"/>
        <v>0.5</v>
      </c>
      <c r="N5">
        <f t="shared" si="2"/>
        <v>2.25</v>
      </c>
      <c r="O5">
        <f t="shared" si="2"/>
        <v>0.25</v>
      </c>
      <c r="Q5" s="11">
        <f t="shared" si="3"/>
        <v>1.1232876712328768</v>
      </c>
      <c r="R5" s="12">
        <f t="shared" ref="R5:R33" si="5">$V$2+$V$3*(1-EXP(-Q5/$V$5))*$V$5/Q5+$V$4*((1-EXP(-Q5/$V$5))*$V$5/Q5-EXP(-Q5/$V$5))+$V$6*((1-EXP(-Q5/$V$7))*$V$7/Q5-EXP(-Q5/$V$7))</f>
        <v>3.5204438709113245E-2</v>
      </c>
      <c r="S5">
        <f t="shared" ref="S5:S33" si="6">(1+R5)^-Q5</f>
        <v>0.96188098291484114</v>
      </c>
      <c r="U5" t="s">
        <v>45</v>
      </c>
      <c r="V5">
        <v>1.0909178737047573</v>
      </c>
      <c r="W5">
        <v>2</v>
      </c>
    </row>
    <row r="6" spans="1:23" x14ac:dyDescent="0.25">
      <c r="A6" t="s">
        <v>46</v>
      </c>
      <c r="B6" s="12">
        <v>2.2499999999999999E-2</v>
      </c>
      <c r="C6" s="4">
        <v>99.35</v>
      </c>
      <c r="D6" s="7">
        <v>46341</v>
      </c>
      <c r="E6" s="6">
        <f t="shared" si="0"/>
        <v>1.9787671232876713</v>
      </c>
      <c r="F6" s="6">
        <f t="shared" si="1"/>
        <v>101.32876712328766</v>
      </c>
      <c r="H6" s="7">
        <f t="shared" ref="H6:H33" si="7">DATE(YEAR(H5)+1,MONTH(H5),DAY(H5))</f>
        <v>45976</v>
      </c>
      <c r="I6">
        <f t="shared" si="4"/>
        <v>0</v>
      </c>
      <c r="J6">
        <f t="shared" si="2"/>
        <v>101.75</v>
      </c>
      <c r="K6">
        <f t="shared" si="2"/>
        <v>2.25</v>
      </c>
      <c r="L6">
        <f t="shared" si="2"/>
        <v>0.5</v>
      </c>
      <c r="M6">
        <f t="shared" si="2"/>
        <v>0.5</v>
      </c>
      <c r="N6">
        <f t="shared" si="2"/>
        <v>2.25</v>
      </c>
      <c r="O6">
        <f t="shared" si="2"/>
        <v>0.25</v>
      </c>
      <c r="Q6" s="11">
        <f t="shared" si="3"/>
        <v>2.1232876712328768</v>
      </c>
      <c r="R6" s="12">
        <f t="shared" si="5"/>
        <v>2.8305789914896112E-2</v>
      </c>
      <c r="S6">
        <f t="shared" si="6"/>
        <v>0.94245562304627661</v>
      </c>
      <c r="U6" t="s">
        <v>47</v>
      </c>
      <c r="V6">
        <v>3.0284729263289865E-2</v>
      </c>
      <c r="W6">
        <v>0.01</v>
      </c>
    </row>
    <row r="7" spans="1:23" x14ac:dyDescent="0.25">
      <c r="A7" t="s">
        <v>48</v>
      </c>
      <c r="B7" s="12">
        <v>5.0000000000000001E-3</v>
      </c>
      <c r="C7" s="4">
        <v>90.54</v>
      </c>
      <c r="D7" s="7">
        <v>46706</v>
      </c>
      <c r="E7" s="6">
        <f t="shared" si="0"/>
        <v>0.43972602739726036</v>
      </c>
      <c r="F7" s="6">
        <f t="shared" si="1"/>
        <v>90.979726027397263</v>
      </c>
      <c r="H7" s="7">
        <f t="shared" si="7"/>
        <v>46341</v>
      </c>
      <c r="I7">
        <f t="shared" si="4"/>
        <v>0</v>
      </c>
      <c r="J7">
        <f t="shared" si="2"/>
        <v>0</v>
      </c>
      <c r="K7">
        <f t="shared" si="2"/>
        <v>102.25</v>
      </c>
      <c r="L7">
        <f t="shared" si="2"/>
        <v>0.5</v>
      </c>
      <c r="M7">
        <f t="shared" si="2"/>
        <v>0.5</v>
      </c>
      <c r="N7">
        <f t="shared" si="2"/>
        <v>2.25</v>
      </c>
      <c r="O7">
        <f t="shared" si="2"/>
        <v>0.25</v>
      </c>
      <c r="Q7" s="11">
        <f t="shared" si="3"/>
        <v>3.1232876712328768</v>
      </c>
      <c r="R7" s="12">
        <f t="shared" si="5"/>
        <v>2.7529237152520217E-2</v>
      </c>
      <c r="S7">
        <f t="shared" si="6"/>
        <v>0.91867808790842642</v>
      </c>
      <c r="U7" t="s">
        <v>49</v>
      </c>
      <c r="V7">
        <v>2.5339934616229818</v>
      </c>
      <c r="W7">
        <v>3</v>
      </c>
    </row>
    <row r="8" spans="1:23" x14ac:dyDescent="0.25">
      <c r="A8" t="s">
        <v>50</v>
      </c>
      <c r="B8" s="12">
        <v>5.0000000000000001E-3</v>
      </c>
      <c r="C8" s="4">
        <v>86</v>
      </c>
      <c r="D8" s="7">
        <v>47437</v>
      </c>
      <c r="E8" s="6">
        <f t="shared" si="0"/>
        <v>0.43972602739726036</v>
      </c>
      <c r="F8" s="6">
        <f t="shared" si="1"/>
        <v>86.439726027397256</v>
      </c>
      <c r="H8" s="7">
        <f t="shared" si="7"/>
        <v>46706</v>
      </c>
      <c r="I8">
        <f t="shared" si="4"/>
        <v>0</v>
      </c>
      <c r="J8">
        <f t="shared" si="2"/>
        <v>0</v>
      </c>
      <c r="K8">
        <f t="shared" si="2"/>
        <v>0</v>
      </c>
      <c r="L8">
        <f t="shared" si="2"/>
        <v>100.49999999999999</v>
      </c>
      <c r="M8">
        <f t="shared" si="2"/>
        <v>0.5</v>
      </c>
      <c r="N8">
        <f t="shared" si="2"/>
        <v>2.25</v>
      </c>
      <c r="O8">
        <f t="shared" si="2"/>
        <v>0.25</v>
      </c>
      <c r="Q8" s="11">
        <f t="shared" si="3"/>
        <v>4.1232876712328768</v>
      </c>
      <c r="R8" s="12">
        <f t="shared" si="5"/>
        <v>2.8416049606127564E-2</v>
      </c>
      <c r="S8">
        <f t="shared" si="6"/>
        <v>0.89089054256329592</v>
      </c>
    </row>
    <row r="9" spans="1:23" x14ac:dyDescent="0.25">
      <c r="A9" t="s">
        <v>52</v>
      </c>
      <c r="B9" s="12">
        <v>2.2499999999999999E-2</v>
      </c>
      <c r="C9" s="4">
        <v>92.4</v>
      </c>
      <c r="D9" s="7">
        <v>48898</v>
      </c>
      <c r="E9" s="6">
        <f t="shared" si="0"/>
        <v>1.9787671232876713</v>
      </c>
      <c r="F9" s="6">
        <f t="shared" si="1"/>
        <v>94.378767123287673</v>
      </c>
      <c r="H9" s="7">
        <f t="shared" si="7"/>
        <v>47072</v>
      </c>
      <c r="I9">
        <f t="shared" si="4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0.5</v>
      </c>
      <c r="N9">
        <f t="shared" si="2"/>
        <v>2.25</v>
      </c>
      <c r="O9">
        <f t="shared" si="2"/>
        <v>0.25</v>
      </c>
      <c r="Q9" s="11">
        <f t="shared" si="3"/>
        <v>5.1260273972602741</v>
      </c>
      <c r="R9" s="12">
        <f t="shared" si="5"/>
        <v>2.9486748743321013E-2</v>
      </c>
      <c r="S9">
        <f t="shared" si="6"/>
        <v>0.86159988827058853</v>
      </c>
      <c r="U9" t="s">
        <v>51</v>
      </c>
    </row>
    <row r="10" spans="1:23" x14ac:dyDescent="0.25">
      <c r="A10" t="s">
        <v>54</v>
      </c>
      <c r="B10" s="12">
        <v>2.5000000000000001E-3</v>
      </c>
      <c r="C10" s="4">
        <v>46.4</v>
      </c>
      <c r="D10" s="7">
        <v>55838</v>
      </c>
      <c r="E10" s="6">
        <f t="shared" si="0"/>
        <v>0.21986301369863018</v>
      </c>
      <c r="F10" s="6">
        <f t="shared" si="1"/>
        <v>46.619863013698627</v>
      </c>
      <c r="H10" s="7">
        <f t="shared" si="7"/>
        <v>47437</v>
      </c>
      <c r="I10">
        <f t="shared" si="4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100.49999999999999</v>
      </c>
      <c r="N10">
        <f t="shared" si="2"/>
        <v>2.25</v>
      </c>
      <c r="O10">
        <f t="shared" si="2"/>
        <v>0.25</v>
      </c>
      <c r="Q10" s="11">
        <f t="shared" si="3"/>
        <v>6.1260273972602741</v>
      </c>
      <c r="R10" s="12">
        <f t="shared" si="5"/>
        <v>3.0326522607318919E-2</v>
      </c>
      <c r="S10">
        <f t="shared" si="6"/>
        <v>0.83275170850175528</v>
      </c>
      <c r="U10" t="s">
        <v>53</v>
      </c>
      <c r="V10">
        <f>SUM(I37:O37)*10^6</f>
        <v>1436447.922363848</v>
      </c>
    </row>
    <row r="11" spans="1:23" x14ac:dyDescent="0.25">
      <c r="B11" s="8"/>
      <c r="C11" s="4"/>
      <c r="D11" s="7"/>
      <c r="H11" s="7">
        <f t="shared" si="7"/>
        <v>47802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2.25</v>
      </c>
      <c r="O11">
        <f t="shared" si="2"/>
        <v>0.25</v>
      </c>
      <c r="Q11" s="11">
        <f t="shared" si="3"/>
        <v>7.1260273972602741</v>
      </c>
      <c r="R11" s="12">
        <f t="shared" si="5"/>
        <v>3.0889381373009776E-2</v>
      </c>
      <c r="S11">
        <f t="shared" si="6"/>
        <v>0.80510116329501069</v>
      </c>
    </row>
    <row r="12" spans="1:23" x14ac:dyDescent="0.25">
      <c r="B12" s="8"/>
      <c r="C12" s="4"/>
      <c r="D12" s="7"/>
      <c r="H12" s="7">
        <f t="shared" si="7"/>
        <v>48167</v>
      </c>
      <c r="I12">
        <f t="shared" si="4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2.25</v>
      </c>
      <c r="O12">
        <f t="shared" si="2"/>
        <v>0.25</v>
      </c>
      <c r="Q12" s="11">
        <f t="shared" si="3"/>
        <v>8.1260273972602732</v>
      </c>
      <c r="R12" s="12">
        <f t="shared" si="5"/>
        <v>3.1226765396747388E-2</v>
      </c>
      <c r="S12">
        <f t="shared" si="6"/>
        <v>0.77890339242209461</v>
      </c>
    </row>
    <row r="13" spans="1:23" x14ac:dyDescent="0.25">
      <c r="H13" s="7">
        <f t="shared" si="7"/>
        <v>48533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2.25</v>
      </c>
      <c r="O13">
        <f t="shared" si="2"/>
        <v>0.25</v>
      </c>
      <c r="Q13" s="11">
        <f t="shared" si="3"/>
        <v>9.1287671232876715</v>
      </c>
      <c r="R13" s="12">
        <f t="shared" si="5"/>
        <v>3.1404162534004423E-2</v>
      </c>
      <c r="S13">
        <f t="shared" si="6"/>
        <v>0.75406864653336714</v>
      </c>
    </row>
    <row r="14" spans="1:23" x14ac:dyDescent="0.25">
      <c r="H14" s="7">
        <f t="shared" si="7"/>
        <v>48898</v>
      </c>
      <c r="I14">
        <f t="shared" si="4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102.25</v>
      </c>
      <c r="O14">
        <f t="shared" si="2"/>
        <v>0.25</v>
      </c>
      <c r="Q14" s="11">
        <f t="shared" si="3"/>
        <v>10.128767123287671</v>
      </c>
      <c r="R14" s="12">
        <f t="shared" si="5"/>
        <v>3.1474835264964425E-2</v>
      </c>
      <c r="S14">
        <f t="shared" si="6"/>
        <v>0.73060156776337382</v>
      </c>
    </row>
    <row r="15" spans="1:23" x14ac:dyDescent="0.25">
      <c r="H15" s="7">
        <f t="shared" si="7"/>
        <v>49263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0.25</v>
      </c>
      <c r="Q15" s="11">
        <f t="shared" si="3"/>
        <v>11.128767123287671</v>
      </c>
      <c r="R15" s="12">
        <f t="shared" si="5"/>
        <v>3.1478715587998904E-2</v>
      </c>
      <c r="S15">
        <f t="shared" si="6"/>
        <v>0.7082780466208457</v>
      </c>
    </row>
    <row r="16" spans="1:23" x14ac:dyDescent="0.25">
      <c r="H16" s="7">
        <f t="shared" si="7"/>
        <v>49628</v>
      </c>
      <c r="I16">
        <f t="shared" si="4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0.25</v>
      </c>
      <c r="Q16" s="11">
        <f t="shared" si="3"/>
        <v>12.128767123287671</v>
      </c>
      <c r="R16" s="12">
        <f t="shared" si="5"/>
        <v>3.1442533532282539E-2</v>
      </c>
      <c r="S16">
        <f t="shared" si="6"/>
        <v>0.68695499283442185</v>
      </c>
    </row>
    <row r="17" spans="8:19" x14ac:dyDescent="0.25">
      <c r="H17" s="7">
        <f t="shared" si="7"/>
        <v>49994</v>
      </c>
      <c r="I17">
        <f t="shared" si="4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0.25</v>
      </c>
      <c r="Q17" s="11">
        <f t="shared" si="3"/>
        <v>13.131506849315068</v>
      </c>
      <c r="R17" s="12">
        <f t="shared" si="5"/>
        <v>3.1383638715858989E-2</v>
      </c>
      <c r="S17">
        <f t="shared" si="6"/>
        <v>0.66645688115577639</v>
      </c>
    </row>
    <row r="18" spans="8:19" x14ac:dyDescent="0.25">
      <c r="H18" s="7">
        <f t="shared" si="7"/>
        <v>50359</v>
      </c>
      <c r="I18">
        <f t="shared" si="4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0.25</v>
      </c>
      <c r="Q18" s="11">
        <f t="shared" si="3"/>
        <v>14.131506849315068</v>
      </c>
      <c r="R18" s="12">
        <f t="shared" si="5"/>
        <v>3.131355831461502E-2</v>
      </c>
      <c r="S18">
        <f t="shared" si="6"/>
        <v>0.64679826370797999</v>
      </c>
    </row>
    <row r="19" spans="8:19" x14ac:dyDescent="0.25">
      <c r="H19" s="7">
        <f t="shared" si="7"/>
        <v>50724</v>
      </c>
      <c r="I19">
        <f t="shared" si="4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0.25</v>
      </c>
      <c r="Q19" s="11">
        <f t="shared" si="3"/>
        <v>15.131506849315068</v>
      </c>
      <c r="R19" s="12">
        <f t="shared" si="5"/>
        <v>3.1239105408355641E-2</v>
      </c>
      <c r="S19">
        <f t="shared" si="6"/>
        <v>0.62784515778595651</v>
      </c>
    </row>
    <row r="20" spans="8:19" x14ac:dyDescent="0.25">
      <c r="H20" s="7">
        <f t="shared" si="7"/>
        <v>51089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0.25</v>
      </c>
      <c r="Q20" s="11">
        <f t="shared" si="3"/>
        <v>16.13150684931507</v>
      </c>
      <c r="R20" s="12">
        <f t="shared" si="5"/>
        <v>3.1164475020353036E-2</v>
      </c>
      <c r="S20">
        <f t="shared" si="6"/>
        <v>0.60953718204105767</v>
      </c>
    </row>
    <row r="21" spans="8:19" x14ac:dyDescent="0.25">
      <c r="H21" s="7">
        <f t="shared" si="7"/>
        <v>51455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0.25</v>
      </c>
      <c r="Q21" s="11">
        <f t="shared" si="3"/>
        <v>17.134246575342466</v>
      </c>
      <c r="R21" s="12">
        <f t="shared" si="5"/>
        <v>3.1091900061116211E-2</v>
      </c>
      <c r="S21">
        <f t="shared" si="6"/>
        <v>0.59177892520392983</v>
      </c>
    </row>
    <row r="22" spans="8:19" x14ac:dyDescent="0.25">
      <c r="H22" s="7">
        <f t="shared" si="7"/>
        <v>51820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0.25</v>
      </c>
      <c r="Q22" s="11">
        <f t="shared" si="3"/>
        <v>18.134246575342466</v>
      </c>
      <c r="R22" s="12">
        <f t="shared" si="5"/>
        <v>3.1023087311312994E-2</v>
      </c>
      <c r="S22">
        <f t="shared" si="6"/>
        <v>0.57462926092411726</v>
      </c>
    </row>
    <row r="23" spans="8:19" x14ac:dyDescent="0.25">
      <c r="H23" s="7">
        <f t="shared" si="7"/>
        <v>52185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0.25</v>
      </c>
      <c r="Q23" s="11">
        <f t="shared" si="3"/>
        <v>19.134246575342466</v>
      </c>
      <c r="R23" s="12">
        <f t="shared" si="5"/>
        <v>3.0958445909955248E-2</v>
      </c>
      <c r="S23">
        <f t="shared" si="6"/>
        <v>0.55800792047128955</v>
      </c>
    </row>
    <row r="24" spans="8:19" x14ac:dyDescent="0.25">
      <c r="H24" s="7">
        <f t="shared" si="7"/>
        <v>52550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0.25</v>
      </c>
      <c r="Q24" s="11">
        <f t="shared" si="3"/>
        <v>20.134246575342466</v>
      </c>
      <c r="R24" s="12">
        <f t="shared" si="5"/>
        <v>3.0898164909698232E-2</v>
      </c>
      <c r="S24">
        <f t="shared" si="6"/>
        <v>0.54188920282345754</v>
      </c>
    </row>
    <row r="25" spans="8:19" x14ac:dyDescent="0.25">
      <c r="H25" s="7">
        <f t="shared" si="7"/>
        <v>52916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0.25</v>
      </c>
      <c r="Q25" s="11">
        <f t="shared" si="3"/>
        <v>21.136986301369863</v>
      </c>
      <c r="R25" s="12">
        <f t="shared" si="5"/>
        <v>3.0842037405964754E-2</v>
      </c>
      <c r="S25">
        <f t="shared" si="6"/>
        <v>0.52620906691142821</v>
      </c>
    </row>
    <row r="26" spans="8:19" x14ac:dyDescent="0.25">
      <c r="H26" s="7">
        <f t="shared" si="7"/>
        <v>53281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0.25</v>
      </c>
      <c r="Q26" s="11">
        <f t="shared" si="3"/>
        <v>22.136986301369863</v>
      </c>
      <c r="R26" s="12">
        <f t="shared" si="5"/>
        <v>3.0790171855639648E-2</v>
      </c>
      <c r="S26">
        <f t="shared" si="6"/>
        <v>0.51103416259251899</v>
      </c>
    </row>
    <row r="27" spans="8:19" x14ac:dyDescent="0.25">
      <c r="H27" s="7">
        <f t="shared" si="7"/>
        <v>53646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0.25</v>
      </c>
      <c r="Q27" s="11">
        <f t="shared" si="3"/>
        <v>23.136986301369863</v>
      </c>
      <c r="R27" s="12">
        <f t="shared" si="5"/>
        <v>3.0742141414880679E-2</v>
      </c>
      <c r="S27">
        <f t="shared" si="6"/>
        <v>0.4963041217064143</v>
      </c>
    </row>
    <row r="28" spans="8:19" x14ac:dyDescent="0.25">
      <c r="H28" s="7">
        <f t="shared" si="7"/>
        <v>54011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0.25</v>
      </c>
      <c r="Q28" s="11">
        <f t="shared" si="3"/>
        <v>24.136986301369863</v>
      </c>
      <c r="R28" s="12">
        <f t="shared" si="5"/>
        <v>3.0697650568612855E-2</v>
      </c>
      <c r="S28">
        <f t="shared" si="6"/>
        <v>0.48200365057993794</v>
      </c>
    </row>
    <row r="29" spans="8:19" x14ac:dyDescent="0.25">
      <c r="H29" s="7">
        <f t="shared" si="7"/>
        <v>54377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0.25</v>
      </c>
      <c r="Q29" s="11">
        <f t="shared" si="3"/>
        <v>25.139726027397259</v>
      </c>
      <c r="R29" s="12">
        <f t="shared" si="5"/>
        <v>3.0656292004996342E-2</v>
      </c>
      <c r="S29">
        <f t="shared" si="6"/>
        <v>0.46808117994187703</v>
      </c>
    </row>
    <row r="30" spans="8:19" x14ac:dyDescent="0.25">
      <c r="H30" s="7">
        <f t="shared" si="7"/>
        <v>54742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>
        <f t="shared" si="4"/>
        <v>0</v>
      </c>
      <c r="O30">
        <f t="shared" si="4"/>
        <v>0.25</v>
      </c>
      <c r="Q30" s="11">
        <f t="shared" si="3"/>
        <v>26.139726027397259</v>
      </c>
      <c r="R30" s="12">
        <f t="shared" si="5"/>
        <v>3.0618003775215365E-2</v>
      </c>
      <c r="S30">
        <f t="shared" si="6"/>
        <v>0.45459961230517609</v>
      </c>
    </row>
    <row r="31" spans="8:19" x14ac:dyDescent="0.25">
      <c r="H31" s="7">
        <f t="shared" si="7"/>
        <v>55107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0.25</v>
      </c>
      <c r="Q31" s="11">
        <f t="shared" si="3"/>
        <v>27.139726027397259</v>
      </c>
      <c r="R31" s="12">
        <f t="shared" si="5"/>
        <v>3.0582399888811021E-2</v>
      </c>
      <c r="S31">
        <f t="shared" si="6"/>
        <v>0.44150794789802511</v>
      </c>
    </row>
    <row r="32" spans="8:19" x14ac:dyDescent="0.25">
      <c r="H32" s="7">
        <f t="shared" si="7"/>
        <v>55472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0.25</v>
      </c>
      <c r="Q32" s="11">
        <f t="shared" si="3"/>
        <v>28.139726027397259</v>
      </c>
      <c r="R32" s="12">
        <f t="shared" si="5"/>
        <v>3.0549233529841138E-2</v>
      </c>
      <c r="S32">
        <f t="shared" si="6"/>
        <v>0.42879440180876061</v>
      </c>
    </row>
    <row r="33" spans="4:19" x14ac:dyDescent="0.25">
      <c r="H33" s="7">
        <f t="shared" si="7"/>
        <v>55838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100.25</v>
      </c>
      <c r="Q33" s="11">
        <f t="shared" si="3"/>
        <v>29.142465753424659</v>
      </c>
      <c r="R33" s="12">
        <f t="shared" si="5"/>
        <v>3.0518198608536707E-2</v>
      </c>
      <c r="S33">
        <f t="shared" si="6"/>
        <v>0.41641437186122499</v>
      </c>
    </row>
    <row r="35" spans="4:19" x14ac:dyDescent="0.25">
      <c r="H35" t="s">
        <v>55</v>
      </c>
      <c r="I35" cm="1">
        <f t="array" ref="I35:Q35">TRANSPOSE(F4:F12)</f>
        <v>96.38</v>
      </c>
      <c r="J35">
        <v>98.669041095890407</v>
      </c>
      <c r="K35">
        <v>101.32876712328766</v>
      </c>
      <c r="L35">
        <v>90.979726027397263</v>
      </c>
      <c r="M35">
        <v>86.439726027397256</v>
      </c>
      <c r="N35">
        <v>94.378767123287673</v>
      </c>
      <c r="O35">
        <v>46.619863013698627</v>
      </c>
      <c r="P35">
        <v>0</v>
      </c>
      <c r="Q35">
        <v>0</v>
      </c>
    </row>
    <row r="36" spans="4:19" x14ac:dyDescent="0.25">
      <c r="H36" t="s">
        <v>56</v>
      </c>
      <c r="I36">
        <f t="shared" ref="I36:O36" si="8">SUMPRODUCT(I4:I33,$S$4:$S$33)</f>
        <v>96.18809829148411</v>
      </c>
      <c r="J36">
        <f t="shared" si="8"/>
        <v>99.315755623473947</v>
      </c>
      <c r="K36">
        <f t="shared" si="8"/>
        <v>100.45365447001039</v>
      </c>
      <c r="L36">
        <f t="shared" si="8"/>
        <v>91.44246523409295</v>
      </c>
      <c r="M36">
        <f t="shared" si="8"/>
        <v>86.475757626325063</v>
      </c>
      <c r="N36">
        <f t="shared" si="8"/>
        <v>94.367315501541498</v>
      </c>
      <c r="O36">
        <f t="shared" si="8"/>
        <v>46.618180353994283</v>
      </c>
    </row>
    <row r="37" spans="4:19" x14ac:dyDescent="0.25">
      <c r="H37" t="s">
        <v>57</v>
      </c>
      <c r="I37">
        <f>(I35-I36)^2</f>
        <v>3.6826265731315928E-2</v>
      </c>
      <c r="J37">
        <f t="shared" ref="J37:O37" si="9">(J35-J36)^2</f>
        <v>0.41823968018760216</v>
      </c>
      <c r="K37">
        <f t="shared" si="9"/>
        <v>0.76582215592598368</v>
      </c>
      <c r="L37">
        <f t="shared" si="9"/>
        <v>0.21412757341335395</v>
      </c>
      <c r="M37">
        <f t="shared" si="9"/>
        <v>1.2982761212942983E-3</v>
      </c>
      <c r="N37">
        <f t="shared" si="9"/>
        <v>1.3113964061748037E-4</v>
      </c>
      <c r="O37">
        <f t="shared" si="9"/>
        <v>2.8313436806208052E-6</v>
      </c>
    </row>
    <row r="43" spans="4:19" x14ac:dyDescent="0.25">
      <c r="D43" s="7"/>
      <c r="K43" s="3"/>
    </row>
    <row r="44" spans="4:19" x14ac:dyDescent="0.25">
      <c r="D44" s="7"/>
      <c r="K44" s="3"/>
    </row>
    <row r="45" spans="4:19" x14ac:dyDescent="0.25">
      <c r="D45" s="7"/>
      <c r="K45" s="3"/>
    </row>
    <row r="46" spans="4:19" x14ac:dyDescent="0.25">
      <c r="D46" s="7"/>
      <c r="K46" s="3"/>
    </row>
    <row r="47" spans="4:19" x14ac:dyDescent="0.25">
      <c r="D47" s="7"/>
      <c r="K47" s="3"/>
    </row>
    <row r="48" spans="4:19" x14ac:dyDescent="0.25">
      <c r="D48" s="7"/>
      <c r="K48" s="3"/>
    </row>
    <row r="49" spans="4:11" x14ac:dyDescent="0.25">
      <c r="D49" s="7"/>
      <c r="K49" s="3"/>
    </row>
  </sheetData>
  <autoFilter ref="A3:F10" xr:uid="{3123E469-286C-43A5-8CF5-131E56FEC6E0}">
    <sortState xmlns:xlrd2="http://schemas.microsoft.com/office/spreadsheetml/2017/richdata2" ref="A4:F10">
      <sortCondition ref="D3:D10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A68-B745-4C24-9CF5-B9AF2CD87114}">
  <dimension ref="A1:X49"/>
  <sheetViews>
    <sheetView topLeftCell="F4" workbookViewId="0">
      <selection activeCell="V4" sqref="V4:V33"/>
    </sheetView>
  </sheetViews>
  <sheetFormatPr defaultRowHeight="15" x14ac:dyDescent="0.25"/>
  <cols>
    <col min="1" max="1" width="13.5703125" bestFit="1" customWidth="1"/>
    <col min="2" max="2" width="11.5703125" bestFit="1" customWidth="1"/>
    <col min="4" max="4" width="10.42578125" bestFit="1" customWidth="1"/>
    <col min="6" max="6" width="19.42578125" bestFit="1" customWidth="1"/>
    <col min="8" max="8" width="10.42578125" bestFit="1" customWidth="1"/>
    <col min="9" max="15" width="13.5703125" bestFit="1" customWidth="1"/>
    <col min="24" max="24" width="10.140625" bestFit="1" customWidth="1"/>
  </cols>
  <sheetData>
    <row r="1" spans="1:24" x14ac:dyDescent="0.25">
      <c r="A1" t="s">
        <v>27</v>
      </c>
      <c r="B1" s="7">
        <v>45201</v>
      </c>
      <c r="H1" t="s">
        <v>28</v>
      </c>
      <c r="I1" s="8" cm="1">
        <f t="array" ref="I1:O1">TRANSPOSE(B4:B10)</f>
        <v>0</v>
      </c>
      <c r="J1" s="8">
        <v>1.7500000000000002E-2</v>
      </c>
      <c r="K1" s="8">
        <v>2.2499999999999999E-2</v>
      </c>
      <c r="L1" s="8">
        <v>5.0000000000000001E-3</v>
      </c>
      <c r="M1" s="8">
        <v>5.0000000000000001E-3</v>
      </c>
      <c r="N1" s="8">
        <v>2.2499999999999999E-2</v>
      </c>
      <c r="O1" s="8">
        <v>2.5000000000000001E-3</v>
      </c>
      <c r="U1">
        <v>0.01</v>
      </c>
      <c r="X1" t="s">
        <v>72</v>
      </c>
    </row>
    <row r="2" spans="1:24" x14ac:dyDescent="0.25">
      <c r="H2" t="s">
        <v>25</v>
      </c>
      <c r="I2" s="7" cm="1">
        <f t="array" ref="I2:O2">TRANSPOSE(D4:D10)</f>
        <v>45611</v>
      </c>
      <c r="J2" s="7">
        <v>45976</v>
      </c>
      <c r="K2" s="7">
        <v>46341</v>
      </c>
      <c r="L2" s="7">
        <v>46706</v>
      </c>
      <c r="M2" s="7">
        <v>47437</v>
      </c>
      <c r="N2" s="7">
        <v>48898</v>
      </c>
      <c r="O2" s="7">
        <v>55838</v>
      </c>
      <c r="Q2" t="s">
        <v>31</v>
      </c>
      <c r="W2" t="s">
        <v>64</v>
      </c>
      <c r="X2" s="13">
        <v>1.0172189450599899E-2</v>
      </c>
    </row>
    <row r="3" spans="1:24" x14ac:dyDescent="0.25">
      <c r="A3" t="s">
        <v>33</v>
      </c>
      <c r="B3" t="s">
        <v>26</v>
      </c>
      <c r="C3" s="10" t="s">
        <v>34</v>
      </c>
      <c r="D3" t="s">
        <v>35</v>
      </c>
      <c r="E3" t="s">
        <v>36</v>
      </c>
      <c r="F3" t="s">
        <v>37</v>
      </c>
      <c r="H3" t="s">
        <v>38</v>
      </c>
      <c r="I3" t="str" cm="1">
        <f t="array" ref="I3:O3">TRANSPOSE(A4:A10)</f>
        <v>DK0009924292</v>
      </c>
      <c r="J3" t="str">
        <v>DK0009923138</v>
      </c>
      <c r="K3" t="str">
        <v>DK0009924888</v>
      </c>
      <c r="L3" t="str">
        <v>DK0009923567</v>
      </c>
      <c r="M3" t="str">
        <v>DK0009923807</v>
      </c>
      <c r="N3" t="str">
        <v>DK0009924532</v>
      </c>
      <c r="O3" t="str">
        <v>DK0009924029</v>
      </c>
      <c r="Q3" t="s">
        <v>6</v>
      </c>
      <c r="R3" t="s">
        <v>70</v>
      </c>
      <c r="S3" t="s">
        <v>71</v>
      </c>
      <c r="T3" t="s">
        <v>40</v>
      </c>
      <c r="U3" t="s">
        <v>39</v>
      </c>
      <c r="V3" t="s">
        <v>40</v>
      </c>
      <c r="W3" t="s">
        <v>65</v>
      </c>
      <c r="X3" s="13">
        <v>3.4221073094520403E-2</v>
      </c>
    </row>
    <row r="4" spans="1:24" x14ac:dyDescent="0.25">
      <c r="A4" t="s">
        <v>42</v>
      </c>
      <c r="B4" s="12">
        <v>0</v>
      </c>
      <c r="C4" s="4">
        <v>96.38</v>
      </c>
      <c r="D4" s="7">
        <v>45611</v>
      </c>
      <c r="E4" s="6">
        <f t="shared" ref="E4:E10" si="0">(1-($H$4-$B$1)/365)*B4*100</f>
        <v>0</v>
      </c>
      <c r="F4" s="6">
        <f t="shared" ref="F4:F10" si="1">C4+E4</f>
        <v>96.38</v>
      </c>
      <c r="H4" s="7">
        <v>45245</v>
      </c>
      <c r="I4">
        <f>IF($H4&gt;I$2,0,IF($H4=I$2,1+I$1,I$1)*100)</f>
        <v>0</v>
      </c>
      <c r="J4">
        <f t="shared" ref="J4:O19" si="2">IF($H4&gt;J$2,0,IF($H4=J$2,1+J$1,J$1)*100)</f>
        <v>1.7500000000000002</v>
      </c>
      <c r="K4">
        <f t="shared" si="2"/>
        <v>2.25</v>
      </c>
      <c r="L4">
        <f t="shared" si="2"/>
        <v>0.5</v>
      </c>
      <c r="M4">
        <f t="shared" si="2"/>
        <v>0.5</v>
      </c>
      <c r="N4">
        <f t="shared" si="2"/>
        <v>2.25</v>
      </c>
      <c r="O4">
        <f t="shared" si="2"/>
        <v>0.25</v>
      </c>
      <c r="Q4" s="11">
        <f t="shared" ref="Q4:Q33" si="3">(H4-$B$1)/365</f>
        <v>0.12054794520547946</v>
      </c>
      <c r="R4" s="14">
        <f>EXP((S4-Q4)*($X$2^2*$X$3-$X$4^2/2)/($X$2^2)-$X$4^2*S4^2/(4*$X$2))</f>
        <v>0.99999748841857361</v>
      </c>
      <c r="S4" s="15">
        <f>(1-EXP(-$X$2*Q4))/$X$2</f>
        <v>0.12047406525925501</v>
      </c>
      <c r="T4">
        <f>R4*EXP(-S4*$X$5)</f>
        <v>0.99572380446806763</v>
      </c>
      <c r="U4" s="12">
        <f>-1/Q4*LN(T4)+$U$1</f>
        <v>4.5549047287718691E-2</v>
      </c>
      <c r="V4" s="16">
        <f>EXP(-U4*Q4)</f>
        <v>0.99452420307454459</v>
      </c>
      <c r="W4" t="s">
        <v>66</v>
      </c>
      <c r="X4" s="13">
        <v>7.55887677064621E-3</v>
      </c>
    </row>
    <row r="5" spans="1:24" x14ac:dyDescent="0.25">
      <c r="A5" t="s">
        <v>44</v>
      </c>
      <c r="B5" s="12">
        <v>1.7500000000000002E-2</v>
      </c>
      <c r="C5" s="4">
        <v>97.13</v>
      </c>
      <c r="D5" s="7">
        <v>45976</v>
      </c>
      <c r="E5" s="6">
        <f t="shared" si="0"/>
        <v>1.5390410958904113</v>
      </c>
      <c r="F5" s="6">
        <f t="shared" si="1"/>
        <v>98.669041095890407</v>
      </c>
      <c r="H5" s="7">
        <f>DATE(YEAR(H4)+1,MONTH(H4),DAY(H4))</f>
        <v>45611</v>
      </c>
      <c r="I5">
        <f t="shared" ref="I5:O33" si="4">IF($H5&gt;I$2,0,IF($H5=I$2,1+I$1,I$1)*100)</f>
        <v>100</v>
      </c>
      <c r="J5">
        <f t="shared" si="2"/>
        <v>1.7500000000000002</v>
      </c>
      <c r="K5">
        <f t="shared" si="2"/>
        <v>2.25</v>
      </c>
      <c r="L5">
        <f t="shared" si="2"/>
        <v>0.5</v>
      </c>
      <c r="M5">
        <f t="shared" si="2"/>
        <v>0.5</v>
      </c>
      <c r="N5">
        <f t="shared" si="2"/>
        <v>2.25</v>
      </c>
      <c r="O5">
        <f t="shared" si="2"/>
        <v>0.25</v>
      </c>
      <c r="Q5" s="11">
        <f t="shared" si="3"/>
        <v>1.1232876712328768</v>
      </c>
      <c r="R5" s="14">
        <f t="shared" ref="R5:R33" si="5">EXP((S5-Q5)*($X$2^2*$X$3-$X$4^2/2)/($X$2^2)-$X$4^2*S5^2/(4*$X$2))</f>
        <v>0.99979462306964606</v>
      </c>
      <c r="S5" s="15">
        <f t="shared" ref="S5:S33" si="6">(1-EXP(-$X$2*Q5))/$X$2</f>
        <v>1.1168945361996618</v>
      </c>
      <c r="T5">
        <f t="shared" ref="T5:T33" si="7">R5*EXP(-S5*$X$5)</f>
        <v>0.96087495438520787</v>
      </c>
      <c r="U5" s="12">
        <f t="shared" ref="U5:U33" si="8">-1/Q5*LN(T5)+$U$1</f>
        <v>4.5530523308581282E-2</v>
      </c>
      <c r="V5" s="16">
        <f t="shared" ref="V5:V33" si="9">EXP(-U5*Q5)</f>
        <v>0.9501419585511085</v>
      </c>
      <c r="W5" t="s">
        <v>69</v>
      </c>
      <c r="X5" s="13">
        <v>3.5549999999999998E-2</v>
      </c>
    </row>
    <row r="6" spans="1:24" x14ac:dyDescent="0.25">
      <c r="A6" t="s">
        <v>46</v>
      </c>
      <c r="B6" s="12">
        <v>2.2499999999999999E-2</v>
      </c>
      <c r="C6" s="4">
        <v>99.35</v>
      </c>
      <c r="D6" s="7">
        <v>46341</v>
      </c>
      <c r="E6" s="6">
        <f t="shared" si="0"/>
        <v>1.9787671232876713</v>
      </c>
      <c r="F6" s="6">
        <f t="shared" si="1"/>
        <v>101.32876712328766</v>
      </c>
      <c r="H6" s="7">
        <f t="shared" ref="H6:H33" si="10">DATE(YEAR(H5)+1,MONTH(H5),DAY(H5))</f>
        <v>45976</v>
      </c>
      <c r="I6">
        <f t="shared" si="4"/>
        <v>0</v>
      </c>
      <c r="J6">
        <f t="shared" si="2"/>
        <v>101.75</v>
      </c>
      <c r="K6">
        <f t="shared" si="2"/>
        <v>2.25</v>
      </c>
      <c r="L6">
        <f t="shared" si="2"/>
        <v>0.5</v>
      </c>
      <c r="M6">
        <f t="shared" si="2"/>
        <v>0.5</v>
      </c>
      <c r="N6">
        <f t="shared" si="2"/>
        <v>2.25</v>
      </c>
      <c r="O6">
        <f t="shared" si="2"/>
        <v>0.25</v>
      </c>
      <c r="Q6" s="11">
        <f t="shared" si="3"/>
        <v>2.1232876712328768</v>
      </c>
      <c r="R6" s="14">
        <f t="shared" si="5"/>
        <v>0.9993108659007125</v>
      </c>
      <c r="S6" s="15">
        <f t="shared" si="6"/>
        <v>2.1005219694862602</v>
      </c>
      <c r="T6">
        <f t="shared" si="7"/>
        <v>0.9274068436327727</v>
      </c>
      <c r="U6" s="12">
        <f t="shared" si="8"/>
        <v>4.5493507873483816E-2</v>
      </c>
      <c r="V6" s="16">
        <f t="shared" si="9"/>
        <v>0.90792291043333417</v>
      </c>
    </row>
    <row r="7" spans="1:24" x14ac:dyDescent="0.25">
      <c r="A7" t="s">
        <v>48</v>
      </c>
      <c r="B7" s="12">
        <v>5.0000000000000001E-3</v>
      </c>
      <c r="C7" s="4">
        <v>90.54</v>
      </c>
      <c r="D7" s="7">
        <v>46706</v>
      </c>
      <c r="E7" s="6">
        <f t="shared" si="0"/>
        <v>0.43972602739726036</v>
      </c>
      <c r="F7" s="6">
        <f t="shared" si="1"/>
        <v>90.979726027397263</v>
      </c>
      <c r="H7" s="7">
        <f t="shared" si="10"/>
        <v>46341</v>
      </c>
      <c r="I7">
        <f t="shared" si="4"/>
        <v>0</v>
      </c>
      <c r="J7">
        <f t="shared" si="2"/>
        <v>0</v>
      </c>
      <c r="K7">
        <f t="shared" si="2"/>
        <v>102.25</v>
      </c>
      <c r="L7">
        <f t="shared" si="2"/>
        <v>0.5</v>
      </c>
      <c r="M7">
        <f t="shared" si="2"/>
        <v>0.5</v>
      </c>
      <c r="N7">
        <f t="shared" si="2"/>
        <v>2.25</v>
      </c>
      <c r="O7">
        <f t="shared" si="2"/>
        <v>0.25</v>
      </c>
      <c r="Q7" s="11">
        <f t="shared" si="3"/>
        <v>3.1232876712328768</v>
      </c>
      <c r="R7" s="14">
        <f t="shared" si="5"/>
        <v>0.99860427553196918</v>
      </c>
      <c r="S7" s="15">
        <f t="shared" si="6"/>
        <v>3.0741944757137265</v>
      </c>
      <c r="T7">
        <f t="shared" si="7"/>
        <v>0.8952213140473555</v>
      </c>
      <c r="U7" s="12">
        <f t="shared" si="8"/>
        <v>4.5438398463827676E-2</v>
      </c>
      <c r="V7" s="16">
        <f t="shared" si="9"/>
        <v>0.86769310741776395</v>
      </c>
    </row>
    <row r="8" spans="1:24" x14ac:dyDescent="0.25">
      <c r="A8" t="s">
        <v>50</v>
      </c>
      <c r="B8" s="12">
        <v>5.0000000000000001E-3</v>
      </c>
      <c r="C8" s="4">
        <v>86</v>
      </c>
      <c r="D8" s="7">
        <v>47437</v>
      </c>
      <c r="E8" s="6">
        <f t="shared" si="0"/>
        <v>0.43972602739726036</v>
      </c>
      <c r="F8" s="6">
        <f t="shared" si="1"/>
        <v>86.439726027397256</v>
      </c>
      <c r="H8" s="7">
        <f t="shared" si="10"/>
        <v>46706</v>
      </c>
      <c r="I8">
        <f t="shared" si="4"/>
        <v>0</v>
      </c>
      <c r="J8">
        <f t="shared" si="2"/>
        <v>0</v>
      </c>
      <c r="K8">
        <f t="shared" si="2"/>
        <v>0</v>
      </c>
      <c r="L8">
        <f t="shared" si="2"/>
        <v>100.49999999999999</v>
      </c>
      <c r="M8">
        <f t="shared" si="2"/>
        <v>0.5</v>
      </c>
      <c r="N8">
        <f t="shared" si="2"/>
        <v>2.25</v>
      </c>
      <c r="O8">
        <f t="shared" si="2"/>
        <v>0.25</v>
      </c>
      <c r="Q8" s="11">
        <f t="shared" si="3"/>
        <v>4.1232876712328768</v>
      </c>
      <c r="R8" s="14">
        <f t="shared" si="5"/>
        <v>0.99773135104881094</v>
      </c>
      <c r="S8" s="15">
        <f t="shared" si="6"/>
        <v>4.0380128049927224</v>
      </c>
      <c r="T8">
        <f t="shared" si="7"/>
        <v>0.86431103439158685</v>
      </c>
      <c r="U8" s="12">
        <f t="shared" si="8"/>
        <v>4.5365609454994724E-2</v>
      </c>
      <c r="V8" s="16">
        <f t="shared" si="9"/>
        <v>0.82939773823435214</v>
      </c>
    </row>
    <row r="9" spans="1:24" x14ac:dyDescent="0.25">
      <c r="A9" t="s">
        <v>52</v>
      </c>
      <c r="B9" s="12">
        <v>2.2499999999999999E-2</v>
      </c>
      <c r="C9" s="4">
        <v>92.4</v>
      </c>
      <c r="D9" s="7">
        <v>48898</v>
      </c>
      <c r="E9" s="6">
        <f t="shared" si="0"/>
        <v>1.9787671232876713</v>
      </c>
      <c r="F9" s="6">
        <f t="shared" si="1"/>
        <v>94.378767123287673</v>
      </c>
      <c r="H9" s="7">
        <f t="shared" si="10"/>
        <v>47072</v>
      </c>
      <c r="I9">
        <f t="shared" si="4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0.5</v>
      </c>
      <c r="N9">
        <f t="shared" si="2"/>
        <v>2.25</v>
      </c>
      <c r="O9">
        <f t="shared" si="2"/>
        <v>0.25</v>
      </c>
      <c r="Q9" s="11">
        <f t="shared" si="3"/>
        <v>5.1260273972602741</v>
      </c>
      <c r="R9" s="14">
        <f t="shared" si="5"/>
        <v>0.99674405060700599</v>
      </c>
      <c r="S9" s="15">
        <f t="shared" si="6"/>
        <v>4.9946772533230916</v>
      </c>
      <c r="T9">
        <f t="shared" si="7"/>
        <v>0.8345838697907616</v>
      </c>
      <c r="U9" s="12">
        <f t="shared" si="8"/>
        <v>4.5275277299987336E-2</v>
      </c>
      <c r="V9" s="16">
        <f t="shared" si="9"/>
        <v>0.79288085712387668</v>
      </c>
    </row>
    <row r="10" spans="1:24" x14ac:dyDescent="0.25">
      <c r="A10" t="s">
        <v>54</v>
      </c>
      <c r="B10" s="12">
        <v>2.5000000000000001E-3</v>
      </c>
      <c r="C10" s="4">
        <v>46.4</v>
      </c>
      <c r="D10" s="7">
        <v>55838</v>
      </c>
      <c r="E10" s="6">
        <f t="shared" si="0"/>
        <v>0.21986301369863018</v>
      </c>
      <c r="F10" s="6">
        <f t="shared" si="1"/>
        <v>46.619863013698627</v>
      </c>
      <c r="H10" s="7">
        <f t="shared" si="10"/>
        <v>47437</v>
      </c>
      <c r="I10">
        <f t="shared" si="4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100.49999999999999</v>
      </c>
      <c r="N10">
        <f t="shared" si="2"/>
        <v>2.25</v>
      </c>
      <c r="O10">
        <f t="shared" si="2"/>
        <v>0.25</v>
      </c>
      <c r="Q10" s="11">
        <f t="shared" si="3"/>
        <v>6.1260273972602741</v>
      </c>
      <c r="R10" s="14">
        <f t="shared" si="5"/>
        <v>0.99570087737445823</v>
      </c>
      <c r="S10" s="15">
        <f t="shared" si="6"/>
        <v>5.9390590913835206</v>
      </c>
      <c r="T10">
        <f t="shared" si="7"/>
        <v>0.80618507509892823</v>
      </c>
      <c r="U10" s="12">
        <f t="shared" si="8"/>
        <v>4.5168295398101098E-2</v>
      </c>
      <c r="V10" s="16">
        <f t="shared" si="9"/>
        <v>0.75828026790981973</v>
      </c>
    </row>
    <row r="11" spans="1:24" x14ac:dyDescent="0.25">
      <c r="B11" s="8"/>
      <c r="C11" s="4"/>
      <c r="D11" s="7"/>
      <c r="H11" s="7">
        <f t="shared" si="10"/>
        <v>47802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2.25</v>
      </c>
      <c r="O11">
        <f t="shared" si="2"/>
        <v>0.25</v>
      </c>
      <c r="Q11" s="11">
        <f t="shared" si="3"/>
        <v>7.1260273972602741</v>
      </c>
      <c r="R11" s="14">
        <f t="shared" si="5"/>
        <v>0.99465047633227299</v>
      </c>
      <c r="S11" s="15">
        <f t="shared" si="6"/>
        <v>6.8738831924434294</v>
      </c>
      <c r="T11">
        <f t="shared" si="7"/>
        <v>0.77901075184397472</v>
      </c>
      <c r="U11" s="12">
        <f t="shared" si="8"/>
        <v>4.5044831737846638E-2</v>
      </c>
      <c r="V11" s="16">
        <f t="shared" si="9"/>
        <v>0.725429993780633</v>
      </c>
    </row>
    <row r="12" spans="1:24" x14ac:dyDescent="0.25">
      <c r="B12" s="8"/>
      <c r="C12" s="4"/>
      <c r="D12" s="7"/>
      <c r="H12" s="7">
        <f t="shared" si="10"/>
        <v>48167</v>
      </c>
      <c r="I12">
        <f t="shared" si="4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2.25</v>
      </c>
      <c r="O12">
        <f t="shared" si="2"/>
        <v>0.25</v>
      </c>
      <c r="Q12" s="11">
        <f t="shared" si="3"/>
        <v>8.1260273972602732</v>
      </c>
      <c r="R12" s="14">
        <f t="shared" si="5"/>
        <v>0.99364231935909819</v>
      </c>
      <c r="S12" s="15">
        <f t="shared" si="6"/>
        <v>7.7992462868007442</v>
      </c>
      <c r="T12">
        <f t="shared" si="7"/>
        <v>0.75303679919901279</v>
      </c>
      <c r="U12" s="12">
        <f t="shared" si="8"/>
        <v>4.4905270237431003E-2</v>
      </c>
      <c r="V12" s="16">
        <f t="shared" si="9"/>
        <v>0.69426506300330249</v>
      </c>
    </row>
    <row r="13" spans="1:24" x14ac:dyDescent="0.25">
      <c r="H13" s="7">
        <f t="shared" si="10"/>
        <v>48533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2.25</v>
      </c>
      <c r="O13">
        <f t="shared" si="2"/>
        <v>0.25</v>
      </c>
      <c r="Q13" s="11">
        <f t="shared" si="3"/>
        <v>9.1287671232876715</v>
      </c>
      <c r="R13" s="14">
        <f t="shared" si="5"/>
        <v>0.99272183900942623</v>
      </c>
      <c r="S13" s="15">
        <f t="shared" si="6"/>
        <v>8.717740931772763</v>
      </c>
      <c r="T13">
        <f t="shared" si="7"/>
        <v>0.72817020054987724</v>
      </c>
      <c r="U13" s="12">
        <f t="shared" si="8"/>
        <v>4.4749540859376345E-2</v>
      </c>
      <c r="V13" s="16">
        <f t="shared" si="9"/>
        <v>0.66464106403306145</v>
      </c>
    </row>
    <row r="14" spans="1:24" x14ac:dyDescent="0.25">
      <c r="H14" s="7">
        <f t="shared" si="10"/>
        <v>48898</v>
      </c>
      <c r="I14">
        <f t="shared" si="4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102.25</v>
      </c>
      <c r="O14">
        <f t="shared" si="2"/>
        <v>0.25</v>
      </c>
      <c r="Q14" s="11">
        <f t="shared" si="3"/>
        <v>10.128767123287671</v>
      </c>
      <c r="R14" s="14">
        <f t="shared" si="5"/>
        <v>0.99194033408799587</v>
      </c>
      <c r="S14" s="15">
        <f t="shared" si="6"/>
        <v>9.6244430283973301</v>
      </c>
      <c r="T14">
        <f t="shared" si="7"/>
        <v>0.70451808995279408</v>
      </c>
      <c r="U14" s="12">
        <f t="shared" si="8"/>
        <v>4.4578864929093943E-2</v>
      </c>
      <c r="V14" s="16">
        <f t="shared" si="9"/>
        <v>0.63665400038718412</v>
      </c>
    </row>
    <row r="15" spans="1:24" x14ac:dyDescent="0.25">
      <c r="H15" s="7">
        <f t="shared" si="10"/>
        <v>49263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0.25</v>
      </c>
      <c r="Q15" s="11">
        <f t="shared" si="3"/>
        <v>11.128767123287671</v>
      </c>
      <c r="R15" s="14">
        <f t="shared" si="5"/>
        <v>0.99133978360351949</v>
      </c>
      <c r="S15" s="15">
        <f t="shared" si="6"/>
        <v>10.521968730656704</v>
      </c>
      <c r="T15">
        <f t="shared" si="7"/>
        <v>0.68198069883683221</v>
      </c>
      <c r="U15" s="12">
        <f t="shared" si="8"/>
        <v>4.4393200803346189E-2</v>
      </c>
      <c r="V15" s="16">
        <f t="shared" si="9"/>
        <v>0.61015540400441803</v>
      </c>
    </row>
    <row r="16" spans="1:24" x14ac:dyDescent="0.25">
      <c r="H16" s="7">
        <f t="shared" si="10"/>
        <v>49628</v>
      </c>
      <c r="I16">
        <f t="shared" si="4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0.25</v>
      </c>
      <c r="Q16" s="11">
        <f t="shared" si="3"/>
        <v>12.128767123287671</v>
      </c>
      <c r="R16" s="14">
        <f t="shared" si="5"/>
        <v>0.99096341454788595</v>
      </c>
      <c r="S16" s="15">
        <f t="shared" si="6"/>
        <v>11.410410909421994</v>
      </c>
      <c r="T16">
        <f t="shared" si="7"/>
        <v>0.66052667426615497</v>
      </c>
      <c r="U16" s="12">
        <f t="shared" si="8"/>
        <v>4.4192904081637528E-2</v>
      </c>
      <c r="V16" s="16">
        <f t="shared" si="9"/>
        <v>0.58508072951054124</v>
      </c>
    </row>
    <row r="17" spans="8:22" x14ac:dyDescent="0.25">
      <c r="H17" s="7">
        <f t="shared" si="10"/>
        <v>49994</v>
      </c>
      <c r="I17">
        <f t="shared" si="4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0.25</v>
      </c>
      <c r="Q17" s="11">
        <f t="shared" si="3"/>
        <v>13.131506849315068</v>
      </c>
      <c r="R17" s="14">
        <f t="shared" si="5"/>
        <v>0.99085326859845591</v>
      </c>
      <c r="S17" s="15">
        <f t="shared" si="6"/>
        <v>12.292258681976547</v>
      </c>
      <c r="T17">
        <f t="shared" si="7"/>
        <v>0.64006943537729721</v>
      </c>
      <c r="U17" s="12">
        <f t="shared" si="8"/>
        <v>4.3977716408043509E-2</v>
      </c>
      <c r="V17" s="16">
        <f t="shared" si="9"/>
        <v>0.56130340867552964</v>
      </c>
    </row>
    <row r="18" spans="8:22" x14ac:dyDescent="0.25">
      <c r="H18" s="7">
        <f t="shared" si="10"/>
        <v>50359</v>
      </c>
      <c r="I18">
        <f t="shared" si="4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0.25</v>
      </c>
      <c r="Q18" s="11">
        <f t="shared" si="3"/>
        <v>14.131506849315068</v>
      </c>
      <c r="R18" s="14">
        <f t="shared" si="5"/>
        <v>0.99105083195026566</v>
      </c>
      <c r="S18" s="15">
        <f t="shared" si="6"/>
        <v>13.162784415203092</v>
      </c>
      <c r="T18">
        <f t="shared" si="7"/>
        <v>0.62068818647024548</v>
      </c>
      <c r="U18" s="12">
        <f t="shared" si="8"/>
        <v>4.3749156648401379E-2</v>
      </c>
      <c r="V18" s="16">
        <f t="shared" si="9"/>
        <v>0.53889124144482403</v>
      </c>
    </row>
    <row r="19" spans="8:22" x14ac:dyDescent="0.25">
      <c r="H19" s="7">
        <f t="shared" si="10"/>
        <v>50724</v>
      </c>
      <c r="I19">
        <f t="shared" si="4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0.25</v>
      </c>
      <c r="Q19" s="11">
        <f t="shared" si="3"/>
        <v>15.131506849315068</v>
      </c>
      <c r="R19" s="14">
        <f t="shared" si="5"/>
        <v>0.99159521220180313</v>
      </c>
      <c r="S19" s="15">
        <f t="shared" si="6"/>
        <v>14.024499881570351</v>
      </c>
      <c r="T19">
        <f t="shared" si="7"/>
        <v>0.60229297779722135</v>
      </c>
      <c r="U19" s="12">
        <f t="shared" si="8"/>
        <v>4.3506991935963392E-2</v>
      </c>
      <c r="V19" s="16">
        <f t="shared" si="9"/>
        <v>0.51771708883537382</v>
      </c>
    </row>
    <row r="20" spans="8:22" x14ac:dyDescent="0.25">
      <c r="H20" s="7">
        <f t="shared" si="10"/>
        <v>51089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0.25</v>
      </c>
      <c r="Q20" s="11">
        <f t="shared" si="3"/>
        <v>16.13150684931507</v>
      </c>
      <c r="R20" s="14">
        <f t="shared" si="5"/>
        <v>0.99252536410433356</v>
      </c>
      <c r="S20" s="15">
        <f t="shared" si="6"/>
        <v>14.877494246509245</v>
      </c>
      <c r="T20">
        <f t="shared" si="7"/>
        <v>0.58485131208163155</v>
      </c>
      <c r="U20" s="12">
        <f t="shared" si="8"/>
        <v>4.325155154125513E-2</v>
      </c>
      <c r="V20" s="16">
        <f t="shared" si="9"/>
        <v>0.49772244338487326</v>
      </c>
    </row>
    <row r="21" spans="8:22" x14ac:dyDescent="0.25">
      <c r="H21" s="7">
        <f t="shared" si="10"/>
        <v>51455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0.25</v>
      </c>
      <c r="Q21" s="11">
        <f t="shared" si="3"/>
        <v>17.134246575342466</v>
      </c>
      <c r="R21" s="14">
        <f t="shared" si="5"/>
        <v>0.99388390179636543</v>
      </c>
      <c r="S21" s="15">
        <f t="shared" si="6"/>
        <v>15.724157314406737</v>
      </c>
      <c r="T21">
        <f t="shared" si="7"/>
        <v>0.56828702018031296</v>
      </c>
      <c r="U21" s="12">
        <f t="shared" si="8"/>
        <v>4.2982405627635917E-2</v>
      </c>
      <c r="V21" s="16">
        <f t="shared" si="9"/>
        <v>0.47880055965672785</v>
      </c>
    </row>
    <row r="22" spans="8:22" x14ac:dyDescent="0.25">
      <c r="H22" s="7">
        <f t="shared" si="10"/>
        <v>51820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0.25</v>
      </c>
      <c r="Q22" s="11">
        <f t="shared" si="3"/>
        <v>18.134246575342466</v>
      </c>
      <c r="R22" s="14">
        <f t="shared" si="5"/>
        <v>0.99570128366457133</v>
      </c>
      <c r="S22" s="15">
        <f t="shared" si="6"/>
        <v>16.559950079230781</v>
      </c>
      <c r="T22">
        <f t="shared" si="7"/>
        <v>0.5526589427936679</v>
      </c>
      <c r="U22" s="12">
        <f t="shared" si="8"/>
        <v>4.2701342470094772E-2</v>
      </c>
      <c r="V22" s="16">
        <f t="shared" si="9"/>
        <v>0.46100025932854505</v>
      </c>
    </row>
    <row r="23" spans="8:22" x14ac:dyDescent="0.25">
      <c r="H23" s="7">
        <f t="shared" si="10"/>
        <v>52185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0.25</v>
      </c>
      <c r="Q23" s="11">
        <f t="shared" si="3"/>
        <v>19.134246575342466</v>
      </c>
      <c r="R23" s="14">
        <f t="shared" si="5"/>
        <v>0.99801811351606007</v>
      </c>
      <c r="S23" s="15">
        <f t="shared" si="6"/>
        <v>17.387284096638073</v>
      </c>
      <c r="T23">
        <f t="shared" si="7"/>
        <v>0.53788967621006734</v>
      </c>
      <c r="U23" s="12">
        <f t="shared" si="8"/>
        <v>4.2407955035672601E-2</v>
      </c>
      <c r="V23" s="16">
        <f t="shared" si="9"/>
        <v>0.44421603551552197</v>
      </c>
    </row>
    <row r="24" spans="8:22" x14ac:dyDescent="0.25">
      <c r="H24" s="7">
        <f t="shared" si="10"/>
        <v>52550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0.25</v>
      </c>
      <c r="Q24" s="11">
        <f t="shared" si="3"/>
        <v>20.134246575342466</v>
      </c>
      <c r="R24" s="14">
        <f t="shared" si="5"/>
        <v>1.0008717691222007</v>
      </c>
      <c r="S24" s="15">
        <f t="shared" si="6"/>
        <v>18.206244974462095</v>
      </c>
      <c r="T24">
        <f t="shared" si="7"/>
        <v>0.5239491614560311</v>
      </c>
      <c r="U24" s="12">
        <f t="shared" si="8"/>
        <v>4.2102548117270953E-2</v>
      </c>
      <c r="V24" s="16">
        <f t="shared" si="9"/>
        <v>0.4283977959584368</v>
      </c>
    </row>
    <row r="25" spans="8:22" x14ac:dyDescent="0.25">
      <c r="H25" s="7">
        <f t="shared" si="10"/>
        <v>52916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0.25</v>
      </c>
      <c r="Q25" s="11">
        <f t="shared" si="3"/>
        <v>21.136986301369863</v>
      </c>
      <c r="R25" s="14">
        <f t="shared" si="5"/>
        <v>1.004309930008056</v>
      </c>
      <c r="S25" s="15">
        <f t="shared" si="6"/>
        <v>19.019127166662965</v>
      </c>
      <c r="T25">
        <f t="shared" si="7"/>
        <v>0.51077336396041972</v>
      </c>
      <c r="U25" s="12">
        <f t="shared" si="8"/>
        <v>4.1784535994670705E-2</v>
      </c>
      <c r="V25" s="16">
        <f t="shared" si="9"/>
        <v>0.41345807305618093</v>
      </c>
    </row>
    <row r="26" spans="8:22" x14ac:dyDescent="0.25">
      <c r="H26" s="7">
        <f t="shared" si="10"/>
        <v>53281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0.25</v>
      </c>
      <c r="Q26" s="11">
        <f t="shared" si="3"/>
        <v>22.136986301369863</v>
      </c>
      <c r="R26" s="14">
        <f t="shared" si="5"/>
        <v>1.008351652740985</v>
      </c>
      <c r="S26" s="15">
        <f t="shared" si="6"/>
        <v>19.821572768291645</v>
      </c>
      <c r="T26">
        <f t="shared" si="7"/>
        <v>0.49840616537241467</v>
      </c>
      <c r="U26" s="12">
        <f t="shared" si="8"/>
        <v>4.145595031661696E-2</v>
      </c>
      <c r="V26" s="16">
        <f t="shared" si="9"/>
        <v>0.39943277360482238</v>
      </c>
    </row>
    <row r="27" spans="8:22" x14ac:dyDescent="0.25">
      <c r="H27" s="7">
        <f t="shared" si="10"/>
        <v>53646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0.25</v>
      </c>
      <c r="Q27" s="11">
        <f t="shared" si="3"/>
        <v>23.136986301369863</v>
      </c>
      <c r="R27" s="14">
        <f t="shared" si="5"/>
        <v>1.0130437927391651</v>
      </c>
      <c r="S27" s="15">
        <f t="shared" si="6"/>
        <v>20.615897116727503</v>
      </c>
      <c r="T27">
        <f t="shared" si="7"/>
        <v>0.48678356125613687</v>
      </c>
      <c r="U27" s="12">
        <f t="shared" si="8"/>
        <v>4.1116225685164626E-2</v>
      </c>
      <c r="V27" s="16">
        <f t="shared" si="9"/>
        <v>0.38623644298980636</v>
      </c>
    </row>
    <row r="28" spans="8:22" x14ac:dyDescent="0.25">
      <c r="H28" s="7">
        <f t="shared" si="10"/>
        <v>54011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0.25</v>
      </c>
      <c r="Q28" s="11">
        <f t="shared" si="3"/>
        <v>24.136986301369863</v>
      </c>
      <c r="R28" s="14">
        <f t="shared" si="5"/>
        <v>1.0184253432903456</v>
      </c>
      <c r="S28" s="15">
        <f t="shared" si="6"/>
        <v>21.402182404150654</v>
      </c>
      <c r="T28">
        <f t="shared" si="7"/>
        <v>0.47587982214306368</v>
      </c>
      <c r="U28" s="12">
        <f t="shared" si="8"/>
        <v>4.0765644138223825E-2</v>
      </c>
      <c r="V28" s="16">
        <f t="shared" si="9"/>
        <v>0.37382788271826767</v>
      </c>
    </row>
    <row r="29" spans="8:22" x14ac:dyDescent="0.25">
      <c r="H29" s="7">
        <f t="shared" si="10"/>
        <v>54377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0.25</v>
      </c>
      <c r="Q29" s="11">
        <f t="shared" si="3"/>
        <v>25.139726027397259</v>
      </c>
      <c r="R29" s="14">
        <f t="shared" si="5"/>
        <v>1.0245540359423337</v>
      </c>
      <c r="S29" s="15">
        <f t="shared" si="6"/>
        <v>22.182631538465891</v>
      </c>
      <c r="T29">
        <f t="shared" si="7"/>
        <v>0.46564342499814854</v>
      </c>
      <c r="U29" s="12">
        <f t="shared" si="8"/>
        <v>4.0403478515732789E-2</v>
      </c>
      <c r="V29" s="16">
        <f t="shared" si="9"/>
        <v>0.36213711055089215</v>
      </c>
    </row>
    <row r="30" spans="8:22" x14ac:dyDescent="0.25">
      <c r="H30" s="7">
        <f t="shared" si="10"/>
        <v>54742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>
        <f t="shared" si="4"/>
        <v>0</v>
      </c>
      <c r="O30">
        <f t="shared" si="4"/>
        <v>0.25</v>
      </c>
      <c r="Q30" s="11">
        <f t="shared" si="3"/>
        <v>26.139726027397259</v>
      </c>
      <c r="R30" s="14">
        <f t="shared" si="5"/>
        <v>1.0314376209804275</v>
      </c>
      <c r="S30" s="15">
        <f t="shared" si="6"/>
        <v>22.953060490083807</v>
      </c>
      <c r="T30">
        <f t="shared" si="7"/>
        <v>0.45610705704208349</v>
      </c>
      <c r="U30" s="12">
        <f t="shared" si="8"/>
        <v>4.0031979753154832E-2</v>
      </c>
      <c r="V30" s="16">
        <f t="shared" si="9"/>
        <v>0.35119102138452862</v>
      </c>
    </row>
    <row r="31" spans="8:22" x14ac:dyDescent="0.25">
      <c r="H31" s="7">
        <f t="shared" si="10"/>
        <v>55107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0.25</v>
      </c>
      <c r="Q31" s="11">
        <f t="shared" si="3"/>
        <v>27.139726027397259</v>
      </c>
      <c r="R31" s="14">
        <f t="shared" si="5"/>
        <v>1.0391344165617631</v>
      </c>
      <c r="S31" s="15">
        <f t="shared" si="6"/>
        <v>23.715692217104216</v>
      </c>
      <c r="T31">
        <f t="shared" si="7"/>
        <v>0.44721993378583547</v>
      </c>
      <c r="U31" s="12">
        <f t="shared" si="8"/>
        <v>3.9650438720975296E-2</v>
      </c>
      <c r="V31" s="16">
        <f t="shared" si="9"/>
        <v>0.34092183741874688</v>
      </c>
    </row>
    <row r="32" spans="8:22" x14ac:dyDescent="0.25">
      <c r="H32" s="7">
        <f t="shared" si="10"/>
        <v>55472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0.25</v>
      </c>
      <c r="Q32" s="11">
        <f t="shared" si="3"/>
        <v>28.139726027397259</v>
      </c>
      <c r="R32" s="14">
        <f t="shared" si="5"/>
        <v>1.0476887144737301</v>
      </c>
      <c r="S32" s="15">
        <f t="shared" si="6"/>
        <v>24.470605632334458</v>
      </c>
      <c r="T32">
        <f t="shared" si="7"/>
        <v>0.43896152302056302</v>
      </c>
      <c r="U32" s="12">
        <f t="shared" si="8"/>
        <v>3.9259116304989849E-2</v>
      </c>
      <c r="V32" s="16">
        <f t="shared" si="9"/>
        <v>0.33129675088267024</v>
      </c>
    </row>
    <row r="33" spans="4:22" x14ac:dyDescent="0.25">
      <c r="H33" s="7">
        <f t="shared" si="10"/>
        <v>55838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100.25</v>
      </c>
      <c r="Q33" s="11">
        <f t="shared" si="3"/>
        <v>29.142465753424659</v>
      </c>
      <c r="R33" s="14">
        <f t="shared" si="5"/>
        <v>1.0571739757489262</v>
      </c>
      <c r="S33" s="15">
        <f t="shared" si="6"/>
        <v>25.219915750205629</v>
      </c>
      <c r="T33">
        <f t="shared" si="7"/>
        <v>0.4312925203090221</v>
      </c>
      <c r="U33" s="12">
        <f t="shared" si="8"/>
        <v>3.8857157276753929E-2</v>
      </c>
      <c r="V33" s="16">
        <f t="shared" si="9"/>
        <v>0.32226104110240339</v>
      </c>
    </row>
    <row r="35" spans="4:22" x14ac:dyDescent="0.25">
      <c r="H35" t="s">
        <v>55</v>
      </c>
      <c r="I35" cm="1">
        <f t="array" ref="I35:O35">TRANSPOSE(C4:C10)</f>
        <v>96.38</v>
      </c>
      <c r="J35">
        <v>97.13</v>
      </c>
      <c r="K35">
        <v>99.35</v>
      </c>
      <c r="L35">
        <v>90.54</v>
      </c>
      <c r="M35">
        <v>86</v>
      </c>
      <c r="N35">
        <v>92.4</v>
      </c>
      <c r="O35">
        <v>46.4</v>
      </c>
    </row>
    <row r="36" spans="4:22" x14ac:dyDescent="0.25">
      <c r="H36" t="s">
        <v>56</v>
      </c>
      <c r="I36">
        <f>SUMPRODUCT(I4:I33,$V$4:$V$33)</f>
        <v>95.014195855110856</v>
      </c>
      <c r="J36">
        <f t="shared" ref="J36:O36" si="11">SUMPRODUCT(J4:J33,$V$4:$V$33)</f>
        <v>95.78432191943665</v>
      </c>
      <c r="K36">
        <f t="shared" si="11"/>
        <v>95.139945645599084</v>
      </c>
      <c r="L36">
        <f t="shared" si="11"/>
        <v>85.214613782290755</v>
      </c>
      <c r="M36">
        <f t="shared" si="11"/>
        <v>78.878447312354368</v>
      </c>
      <c r="N36">
        <f t="shared" si="11"/>
        <v>83.514520157603613</v>
      </c>
      <c r="O36">
        <f t="shared" si="11"/>
        <v>36.532573876233364</v>
      </c>
    </row>
    <row r="37" spans="4:22" x14ac:dyDescent="0.25">
      <c r="H37" t="s">
        <v>57</v>
      </c>
      <c r="I37">
        <f>(I35-I36)^2</f>
        <v>1.8654209621963538</v>
      </c>
      <c r="J37">
        <f t="shared" ref="J37:O37" si="12">(J35-J36)^2</f>
        <v>1.8108494965086503</v>
      </c>
      <c r="K37">
        <f t="shared" si="12"/>
        <v>17.724557667010064</v>
      </c>
      <c r="L37">
        <f t="shared" si="12"/>
        <v>28.359738367767648</v>
      </c>
      <c r="M37">
        <f t="shared" si="12"/>
        <v>50.716512682912729</v>
      </c>
      <c r="N37">
        <f t="shared" si="12"/>
        <v>78.95175202963263</v>
      </c>
      <c r="O37">
        <f t="shared" si="12"/>
        <v>97.366098307992232</v>
      </c>
    </row>
    <row r="39" spans="4:22" x14ac:dyDescent="0.25">
      <c r="H39" t="s">
        <v>74</v>
      </c>
      <c r="I39">
        <f>SUM(I37:O37)</f>
        <v>276.79492951402028</v>
      </c>
      <c r="U39" s="1">
        <f>AVERAGE(U4:U33)</f>
        <v>4.3122982207534889E-2</v>
      </c>
    </row>
    <row r="43" spans="4:22" x14ac:dyDescent="0.25">
      <c r="D43" s="7"/>
      <c r="K43" s="3"/>
    </row>
    <row r="44" spans="4:22" x14ac:dyDescent="0.25">
      <c r="D44" s="7"/>
      <c r="K44" s="3"/>
    </row>
    <row r="45" spans="4:22" x14ac:dyDescent="0.25">
      <c r="D45" s="7"/>
      <c r="K45" s="3"/>
    </row>
    <row r="46" spans="4:22" x14ac:dyDescent="0.25">
      <c r="D46" s="7"/>
      <c r="K46" s="3"/>
    </row>
    <row r="47" spans="4:22" x14ac:dyDescent="0.25">
      <c r="D47" s="7"/>
      <c r="K47" s="3"/>
    </row>
    <row r="48" spans="4:22" x14ac:dyDescent="0.25">
      <c r="D48" s="7"/>
      <c r="K48" s="3"/>
    </row>
    <row r="49" spans="4:11" x14ac:dyDescent="0.25">
      <c r="D49" s="7"/>
      <c r="K49" s="3"/>
    </row>
  </sheetData>
  <autoFilter ref="A3:F10" xr:uid="{3123E469-286C-43A5-8CF5-131E56FEC6E0}">
    <sortState xmlns:xlrd2="http://schemas.microsoft.com/office/spreadsheetml/2017/richdata2" ref="A4:F10">
      <sortCondition ref="D3:D1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9EDD-68EA-4C44-9460-606825479EF0}">
  <dimension ref="A1:X49"/>
  <sheetViews>
    <sheetView topLeftCell="D1" workbookViewId="0">
      <selection activeCell="U1" sqref="U1:V4"/>
    </sheetView>
  </sheetViews>
  <sheetFormatPr defaultRowHeight="15" x14ac:dyDescent="0.25"/>
  <cols>
    <col min="1" max="1" width="13.5703125" bestFit="1" customWidth="1"/>
    <col min="2" max="2" width="11.5703125" bestFit="1" customWidth="1"/>
    <col min="4" max="4" width="10.42578125" bestFit="1" customWidth="1"/>
    <col min="6" max="6" width="19.42578125" bestFit="1" customWidth="1"/>
    <col min="8" max="8" width="10.42578125" bestFit="1" customWidth="1"/>
    <col min="9" max="15" width="13.5703125" bestFit="1" customWidth="1"/>
    <col min="24" max="24" width="10.140625" bestFit="1" customWidth="1"/>
  </cols>
  <sheetData>
    <row r="1" spans="1:24" x14ac:dyDescent="0.25">
      <c r="A1" t="s">
        <v>27</v>
      </c>
      <c r="B1" s="7">
        <v>45201</v>
      </c>
      <c r="H1" t="s">
        <v>28</v>
      </c>
      <c r="I1" s="8" cm="1">
        <f t="array" ref="I1:O1">TRANSPOSE(B4:B10)</f>
        <v>0</v>
      </c>
      <c r="J1" s="8">
        <v>1.7500000000000002E-2</v>
      </c>
      <c r="K1" s="8">
        <v>2.2499999999999999E-2</v>
      </c>
      <c r="L1" s="8">
        <v>5.0000000000000001E-3</v>
      </c>
      <c r="M1" s="8">
        <v>5.0000000000000001E-3</v>
      </c>
      <c r="N1" s="8">
        <v>2.2499999999999999E-2</v>
      </c>
      <c r="O1" s="8">
        <v>2.5000000000000001E-3</v>
      </c>
      <c r="U1">
        <v>0.01</v>
      </c>
      <c r="X1" t="s">
        <v>72</v>
      </c>
    </row>
    <row r="2" spans="1:24" x14ac:dyDescent="0.25">
      <c r="H2" t="s">
        <v>25</v>
      </c>
      <c r="I2" s="7" cm="1">
        <f t="array" ref="I2:O2">TRANSPOSE(D4:D10)</f>
        <v>45611</v>
      </c>
      <c r="J2" s="7">
        <v>45976</v>
      </c>
      <c r="K2" s="7">
        <v>46341</v>
      </c>
      <c r="L2" s="7">
        <v>46706</v>
      </c>
      <c r="M2" s="7">
        <v>47437</v>
      </c>
      <c r="N2" s="7">
        <v>48898</v>
      </c>
      <c r="O2" s="7">
        <v>55838</v>
      </c>
      <c r="Q2" t="s">
        <v>31</v>
      </c>
      <c r="W2" t="s">
        <v>64</v>
      </c>
      <c r="X2" s="13">
        <v>1.0172189450599899E-2</v>
      </c>
    </row>
    <row r="3" spans="1:24" x14ac:dyDescent="0.25">
      <c r="A3" t="s">
        <v>33</v>
      </c>
      <c r="B3" t="s">
        <v>26</v>
      </c>
      <c r="C3" s="10" t="s">
        <v>34</v>
      </c>
      <c r="D3" t="s">
        <v>35</v>
      </c>
      <c r="E3" t="s">
        <v>36</v>
      </c>
      <c r="F3" t="s">
        <v>37</v>
      </c>
      <c r="H3" t="s">
        <v>38</v>
      </c>
      <c r="I3" t="str" cm="1">
        <f t="array" ref="I3:O3">TRANSPOSE(A4:A10)</f>
        <v>DK0009924292</v>
      </c>
      <c r="J3" t="str">
        <v>DK0009923138</v>
      </c>
      <c r="K3" t="str">
        <v>DK0009924888</v>
      </c>
      <c r="L3" t="str">
        <v>DK0009923567</v>
      </c>
      <c r="M3" t="str">
        <v>DK0009923807</v>
      </c>
      <c r="N3" t="str">
        <v>DK0009924532</v>
      </c>
      <c r="O3" t="str">
        <v>DK0009924029</v>
      </c>
      <c r="Q3" t="s">
        <v>6</v>
      </c>
      <c r="R3" t="s">
        <v>70</v>
      </c>
      <c r="S3" t="s">
        <v>71</v>
      </c>
      <c r="T3" t="s">
        <v>40</v>
      </c>
      <c r="U3" t="s">
        <v>39</v>
      </c>
      <c r="V3" t="s">
        <v>40</v>
      </c>
      <c r="W3" t="s">
        <v>65</v>
      </c>
      <c r="X3" s="13">
        <v>3.4221073094520403E-2</v>
      </c>
    </row>
    <row r="4" spans="1:24" x14ac:dyDescent="0.25">
      <c r="A4" t="s">
        <v>42</v>
      </c>
      <c r="B4" s="12">
        <v>0</v>
      </c>
      <c r="C4" s="4">
        <v>96.38</v>
      </c>
      <c r="D4" s="7">
        <v>45611</v>
      </c>
      <c r="E4" s="6">
        <f t="shared" ref="E4:E10" si="0">(1-($H$4-$B$1)/365)*B4*100</f>
        <v>0</v>
      </c>
      <c r="F4" s="6">
        <f t="shared" ref="F4:F10" si="1">C4+E4</f>
        <v>96.38</v>
      </c>
      <c r="H4" s="7">
        <v>45245</v>
      </c>
      <c r="I4">
        <f>IF($H4&gt;I$2,0,IF($H4=I$2,1+I$1,I$1)*100)</f>
        <v>0</v>
      </c>
      <c r="J4">
        <f t="shared" ref="J4:O19" si="2">IF($H4&gt;J$2,0,IF($H4=J$2,1+J$1,J$1)*100)</f>
        <v>1.7500000000000002</v>
      </c>
      <c r="K4">
        <f t="shared" si="2"/>
        <v>2.25</v>
      </c>
      <c r="L4">
        <f t="shared" si="2"/>
        <v>0.5</v>
      </c>
      <c r="M4">
        <f t="shared" si="2"/>
        <v>0.5</v>
      </c>
      <c r="N4">
        <f t="shared" si="2"/>
        <v>2.25</v>
      </c>
      <c r="O4">
        <f t="shared" si="2"/>
        <v>0.25</v>
      </c>
      <c r="Q4" s="11">
        <f t="shared" ref="Q4:Q33" si="3">(H4-$B$1)/365</f>
        <v>0.12054794520547946</v>
      </c>
      <c r="R4" s="14">
        <f>((2*$X$6*EXP(($X$2+$X$6)*Q4/2))/(2*$X$6+($X$2+$X$6)*(EXP($X$6*Q4)-1)))^((2*$X$2*$X$3)/$X$4^2)</f>
        <v>0.9999974717570741</v>
      </c>
      <c r="S4" s="15">
        <f>(2*(EXP($X$6*Q4)-1))/(2*$X$6+($X$2+$X$6)*(EXP($X$6*Q4)-1))</f>
        <v>0.12047359658772855</v>
      </c>
      <c r="T4">
        <f>R4*EXP(-S4*$X$5)</f>
        <v>0.99572380446780007</v>
      </c>
      <c r="U4" s="12">
        <f>-1/Q4*LN(T4)+$U$1</f>
        <v>4.5549047289947776E-2</v>
      </c>
      <c r="V4" s="16">
        <f>EXP(-U4*Q4)</f>
        <v>0.99452420307427736</v>
      </c>
      <c r="W4" t="s">
        <v>66</v>
      </c>
      <c r="X4" s="13">
        <v>4.0090129833828703E-2</v>
      </c>
    </row>
    <row r="5" spans="1:24" x14ac:dyDescent="0.25">
      <c r="A5" t="s">
        <v>44</v>
      </c>
      <c r="B5" s="12">
        <v>1.7500000000000002E-2</v>
      </c>
      <c r="C5" s="4">
        <v>97.13</v>
      </c>
      <c r="D5" s="7">
        <v>45976</v>
      </c>
      <c r="E5" s="6">
        <f t="shared" si="0"/>
        <v>1.5390410958904113</v>
      </c>
      <c r="F5" s="6">
        <f t="shared" si="1"/>
        <v>98.669041095890407</v>
      </c>
      <c r="H5" s="7">
        <f>DATE(YEAR(H4)+1,MONTH(H4),DAY(H4))</f>
        <v>45611</v>
      </c>
      <c r="I5">
        <f t="shared" ref="I5:O33" si="4">IF($H5&gt;I$2,0,IF($H5=I$2,1+I$1,I$1)*100)</f>
        <v>100</v>
      </c>
      <c r="J5">
        <f t="shared" si="2"/>
        <v>1.7500000000000002</v>
      </c>
      <c r="K5">
        <f t="shared" si="2"/>
        <v>2.25</v>
      </c>
      <c r="L5">
        <f t="shared" si="2"/>
        <v>0.5</v>
      </c>
      <c r="M5">
        <f t="shared" si="2"/>
        <v>0.5</v>
      </c>
      <c r="N5">
        <f t="shared" si="2"/>
        <v>2.25</v>
      </c>
      <c r="O5">
        <f t="shared" si="2"/>
        <v>0.25</v>
      </c>
      <c r="Q5" s="11">
        <f t="shared" si="3"/>
        <v>1.1232876712328768</v>
      </c>
      <c r="R5" s="14">
        <f t="shared" ref="R5:R33" si="5">((2*$X$6*EXP(($X$2+$X$6)*Q5/2))/(2*$X$6+($X$2+$X$6)*(EXP($X$6*Q5)-1)))^((2*$X$2*$X$3)/$X$4^2)</f>
        <v>0.99978128074771133</v>
      </c>
      <c r="S5" s="15">
        <f t="shared" ref="S5:S33" si="6">(2*(EXP($X$6*Q5)-1))/(2*$X$6+($X$2+$X$6)*(EXP($X$6*Q5)-1))</f>
        <v>1.1165193370571498</v>
      </c>
      <c r="T5">
        <f t="shared" ref="T5:T33" si="7">R5*EXP(-S5*$X$5)</f>
        <v>0.96087494782989546</v>
      </c>
      <c r="U5" s="12">
        <f t="shared" ref="U5:U33" si="8">-1/Q5*LN(T5)+$U$1</f>
        <v>4.5530529382032246E-2</v>
      </c>
      <c r="V5" s="16">
        <f t="shared" ref="V5:V33" si="9">EXP(-U5*Q5)</f>
        <v>0.95014195206901908</v>
      </c>
      <c r="W5" t="s">
        <v>69</v>
      </c>
      <c r="X5" s="13">
        <v>3.5549999999999998E-2</v>
      </c>
    </row>
    <row r="6" spans="1:24" x14ac:dyDescent="0.25">
      <c r="A6" t="s">
        <v>46</v>
      </c>
      <c r="B6" s="12">
        <v>2.2499999999999999E-2</v>
      </c>
      <c r="C6" s="4">
        <v>99.35</v>
      </c>
      <c r="D6" s="7">
        <v>46341</v>
      </c>
      <c r="E6" s="6">
        <f t="shared" si="0"/>
        <v>1.9787671232876713</v>
      </c>
      <c r="F6" s="6">
        <f t="shared" si="1"/>
        <v>101.32876712328766</v>
      </c>
      <c r="H6" s="7">
        <f t="shared" ref="H6:H33" si="10">DATE(YEAR(H5)+1,MONTH(H5),DAY(H5))</f>
        <v>45976</v>
      </c>
      <c r="I6">
        <f t="shared" si="4"/>
        <v>0</v>
      </c>
      <c r="J6">
        <f t="shared" si="2"/>
        <v>101.75</v>
      </c>
      <c r="K6">
        <f t="shared" si="2"/>
        <v>2.25</v>
      </c>
      <c r="L6">
        <f t="shared" si="2"/>
        <v>0.5</v>
      </c>
      <c r="M6">
        <f t="shared" si="2"/>
        <v>0.5</v>
      </c>
      <c r="N6">
        <f t="shared" si="2"/>
        <v>2.25</v>
      </c>
      <c r="O6">
        <f t="shared" si="2"/>
        <v>0.25</v>
      </c>
      <c r="Q6" s="11">
        <f t="shared" si="3"/>
        <v>2.1232876712328768</v>
      </c>
      <c r="R6" s="14">
        <f t="shared" si="5"/>
        <v>0.99922170154920364</v>
      </c>
      <c r="S6" s="15">
        <f t="shared" si="6"/>
        <v>2.0980161087184079</v>
      </c>
      <c r="T6">
        <f t="shared" si="7"/>
        <v>0.9274067077949063</v>
      </c>
      <c r="U6" s="12">
        <f t="shared" si="8"/>
        <v>4.5493576856431621E-2</v>
      </c>
      <c r="V6" s="16">
        <f t="shared" si="9"/>
        <v>0.90792277744929184</v>
      </c>
      <c r="W6" t="s">
        <v>73</v>
      </c>
      <c r="X6">
        <f>SQRT(X2^2+2*X4^2)</f>
        <v>5.7601306047739755E-2</v>
      </c>
    </row>
    <row r="7" spans="1:24" x14ac:dyDescent="0.25">
      <c r="A7" t="s">
        <v>48</v>
      </c>
      <c r="B7" s="12">
        <v>5.0000000000000001E-3</v>
      </c>
      <c r="C7" s="4">
        <v>90.54</v>
      </c>
      <c r="D7" s="7">
        <v>46706</v>
      </c>
      <c r="E7" s="6">
        <f t="shared" si="0"/>
        <v>0.43972602739726036</v>
      </c>
      <c r="F7" s="6">
        <f t="shared" si="1"/>
        <v>90.979726027397263</v>
      </c>
      <c r="H7" s="7">
        <f t="shared" si="10"/>
        <v>46341</v>
      </c>
      <c r="I7">
        <f t="shared" si="4"/>
        <v>0</v>
      </c>
      <c r="J7">
        <f t="shared" si="2"/>
        <v>0</v>
      </c>
      <c r="K7">
        <f t="shared" si="2"/>
        <v>102.25</v>
      </c>
      <c r="L7">
        <f t="shared" si="2"/>
        <v>0.5</v>
      </c>
      <c r="M7">
        <f t="shared" si="2"/>
        <v>0.5</v>
      </c>
      <c r="N7">
        <f t="shared" si="2"/>
        <v>2.25</v>
      </c>
      <c r="O7">
        <f t="shared" si="2"/>
        <v>0.25</v>
      </c>
      <c r="Q7" s="11">
        <f t="shared" si="3"/>
        <v>3.1232876712328768</v>
      </c>
      <c r="R7" s="14">
        <f t="shared" si="5"/>
        <v>0.99832354327010786</v>
      </c>
      <c r="S7" s="15">
        <f t="shared" si="6"/>
        <v>3.0663123757964326</v>
      </c>
      <c r="T7">
        <f t="shared" si="7"/>
        <v>0.89522045865908095</v>
      </c>
      <c r="U7" s="12">
        <f t="shared" si="8"/>
        <v>4.5438704393146512E-2</v>
      </c>
      <c r="V7" s="16">
        <f t="shared" si="9"/>
        <v>0.86769227833282336</v>
      </c>
    </row>
    <row r="8" spans="1:24" x14ac:dyDescent="0.25">
      <c r="A8" t="s">
        <v>50</v>
      </c>
      <c r="B8" s="12">
        <v>5.0000000000000001E-3</v>
      </c>
      <c r="C8" s="4">
        <v>86</v>
      </c>
      <c r="D8" s="7">
        <v>47437</v>
      </c>
      <c r="E8" s="6">
        <f t="shared" si="0"/>
        <v>0.43972602739726036</v>
      </c>
      <c r="F8" s="6">
        <f t="shared" si="1"/>
        <v>86.439726027397256</v>
      </c>
      <c r="H8" s="7">
        <f t="shared" si="10"/>
        <v>46706</v>
      </c>
      <c r="I8">
        <f t="shared" si="4"/>
        <v>0</v>
      </c>
      <c r="J8">
        <f t="shared" si="2"/>
        <v>0</v>
      </c>
      <c r="K8">
        <f t="shared" si="2"/>
        <v>0</v>
      </c>
      <c r="L8">
        <f t="shared" si="2"/>
        <v>100.49999999999999</v>
      </c>
      <c r="M8">
        <f t="shared" si="2"/>
        <v>0.5</v>
      </c>
      <c r="N8">
        <f t="shared" si="2"/>
        <v>2.25</v>
      </c>
      <c r="O8">
        <f t="shared" si="2"/>
        <v>0.25</v>
      </c>
      <c r="Q8" s="11">
        <f t="shared" si="3"/>
        <v>4.1232876712328768</v>
      </c>
      <c r="R8" s="14">
        <f t="shared" si="5"/>
        <v>0.99709253065603298</v>
      </c>
      <c r="S8" s="15">
        <f t="shared" si="6"/>
        <v>4.0201005098529192</v>
      </c>
      <c r="T8">
        <f t="shared" si="7"/>
        <v>0.86430783997532745</v>
      </c>
      <c r="U8" s="12">
        <f t="shared" si="8"/>
        <v>4.5366505807047201E-2</v>
      </c>
      <c r="V8" s="16">
        <f t="shared" si="9"/>
        <v>0.82939467285451196</v>
      </c>
    </row>
    <row r="9" spans="1:24" x14ac:dyDescent="0.25">
      <c r="A9" t="s">
        <v>52</v>
      </c>
      <c r="B9" s="12">
        <v>2.2499999999999999E-2</v>
      </c>
      <c r="C9" s="4">
        <v>92.4</v>
      </c>
      <c r="D9" s="7">
        <v>48898</v>
      </c>
      <c r="E9" s="6">
        <f t="shared" si="0"/>
        <v>1.9787671232876713</v>
      </c>
      <c r="F9" s="6">
        <f t="shared" si="1"/>
        <v>94.378767123287673</v>
      </c>
      <c r="H9" s="7">
        <f t="shared" si="10"/>
        <v>47072</v>
      </c>
      <c r="I9">
        <f t="shared" si="4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0.5</v>
      </c>
      <c r="N9">
        <f t="shared" si="2"/>
        <v>2.25</v>
      </c>
      <c r="O9">
        <f t="shared" si="2"/>
        <v>0.25</v>
      </c>
      <c r="Q9" s="11">
        <f t="shared" si="3"/>
        <v>5.1260273972602741</v>
      </c>
      <c r="R9" s="14">
        <f t="shared" si="5"/>
        <v>0.99553043049124179</v>
      </c>
      <c r="S9" s="15">
        <f t="shared" si="6"/>
        <v>4.9607064593976293</v>
      </c>
      <c r="T9">
        <f t="shared" si="7"/>
        <v>0.83457496929876207</v>
      </c>
      <c r="U9" s="12">
        <f t="shared" si="8"/>
        <v>4.5277357788969297E-2</v>
      </c>
      <c r="V9" s="16">
        <f t="shared" si="9"/>
        <v>0.79287240137726955</v>
      </c>
    </row>
    <row r="10" spans="1:24" x14ac:dyDescent="0.25">
      <c r="A10" t="s">
        <v>54</v>
      </c>
      <c r="B10" s="12">
        <v>2.5000000000000001E-3</v>
      </c>
      <c r="C10" s="4">
        <v>46.4</v>
      </c>
      <c r="D10" s="7">
        <v>55838</v>
      </c>
      <c r="E10" s="6">
        <f t="shared" si="0"/>
        <v>0.21986301369863018</v>
      </c>
      <c r="F10" s="6">
        <f t="shared" si="1"/>
        <v>46.619863013698627</v>
      </c>
      <c r="H10" s="7">
        <f t="shared" si="10"/>
        <v>47437</v>
      </c>
      <c r="I10">
        <f t="shared" si="4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100.49999999999999</v>
      </c>
      <c r="N10">
        <f t="shared" si="2"/>
        <v>2.25</v>
      </c>
      <c r="O10">
        <f t="shared" si="2"/>
        <v>0.25</v>
      </c>
      <c r="Q10" s="11">
        <f t="shared" si="3"/>
        <v>6.1260273972602741</v>
      </c>
      <c r="R10" s="14">
        <f t="shared" si="5"/>
        <v>0.9936529696111146</v>
      </c>
      <c r="S10" s="15">
        <f t="shared" si="6"/>
        <v>5.881857627291919</v>
      </c>
      <c r="T10">
        <f t="shared" si="7"/>
        <v>0.8061646337694881</v>
      </c>
      <c r="U10" s="12">
        <f t="shared" si="8"/>
        <v>4.5172434450790638E-2</v>
      </c>
      <c r="V10" s="16">
        <f t="shared" si="9"/>
        <v>0.75826104123688443</v>
      </c>
    </row>
    <row r="11" spans="1:24" x14ac:dyDescent="0.25">
      <c r="B11" s="8"/>
      <c r="C11" s="4"/>
      <c r="D11" s="7"/>
      <c r="H11" s="7">
        <f t="shared" si="10"/>
        <v>47802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2.25</v>
      </c>
      <c r="O11">
        <f t="shared" si="2"/>
        <v>0.25</v>
      </c>
      <c r="Q11" s="11">
        <f t="shared" si="3"/>
        <v>7.1260273972602741</v>
      </c>
      <c r="R11" s="14">
        <f t="shared" si="5"/>
        <v>0.99146414092986623</v>
      </c>
      <c r="S11" s="15">
        <f t="shared" si="6"/>
        <v>6.785111206405408</v>
      </c>
      <c r="T11">
        <f t="shared" si="7"/>
        <v>0.77896964417834591</v>
      </c>
      <c r="U11" s="12">
        <f t="shared" si="8"/>
        <v>4.5052237049399181E-2</v>
      </c>
      <c r="V11" s="16">
        <f t="shared" si="9"/>
        <v>0.72539171352127729</v>
      </c>
    </row>
    <row r="12" spans="1:24" x14ac:dyDescent="0.25">
      <c r="B12" s="8"/>
      <c r="C12" s="4"/>
      <c r="D12" s="7"/>
      <c r="H12" s="7">
        <f t="shared" si="10"/>
        <v>48167</v>
      </c>
      <c r="I12">
        <f t="shared" si="4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2.25</v>
      </c>
      <c r="O12">
        <f t="shared" si="2"/>
        <v>0.25</v>
      </c>
      <c r="Q12" s="11">
        <f t="shared" si="3"/>
        <v>8.1260273972602732</v>
      </c>
      <c r="R12" s="14">
        <f t="shared" si="5"/>
        <v>0.98897234438531401</v>
      </c>
      <c r="S12" s="15">
        <f t="shared" si="6"/>
        <v>7.6695302953487436</v>
      </c>
      <c r="T12">
        <f t="shared" si="7"/>
        <v>0.75296185264762872</v>
      </c>
      <c r="U12" s="12">
        <f t="shared" si="8"/>
        <v>4.4917518621179042E-2</v>
      </c>
      <c r="V12" s="16">
        <f t="shared" si="9"/>
        <v>0.69419596575297704</v>
      </c>
    </row>
    <row r="13" spans="1:24" x14ac:dyDescent="0.25">
      <c r="H13" s="7">
        <f t="shared" si="10"/>
        <v>48533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2.25</v>
      </c>
      <c r="O13">
        <f t="shared" si="2"/>
        <v>0.25</v>
      </c>
      <c r="Q13" s="11">
        <f t="shared" si="3"/>
        <v>9.1287671232876715</v>
      </c>
      <c r="R13" s="14">
        <f t="shared" si="5"/>
        <v>0.98617847446209239</v>
      </c>
      <c r="S13" s="15">
        <f t="shared" si="6"/>
        <v>8.5366191998748064</v>
      </c>
      <c r="T13">
        <f t="shared" si="7"/>
        <v>0.72804330713434129</v>
      </c>
      <c r="U13" s="12">
        <f t="shared" si="8"/>
        <v>4.4768632001051224E-2</v>
      </c>
      <c r="V13" s="16">
        <f t="shared" si="9"/>
        <v>0.66452524142090708</v>
      </c>
    </row>
    <row r="14" spans="1:24" x14ac:dyDescent="0.25">
      <c r="H14" s="7">
        <f t="shared" si="10"/>
        <v>48898</v>
      </c>
      <c r="I14">
        <f t="shared" si="4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102.25</v>
      </c>
      <c r="O14">
        <f t="shared" si="2"/>
        <v>0.25</v>
      </c>
      <c r="Q14" s="11">
        <f t="shared" si="3"/>
        <v>10.128767123287671</v>
      </c>
      <c r="R14" s="14">
        <f t="shared" si="5"/>
        <v>0.98310720329783219</v>
      </c>
      <c r="S14" s="15">
        <f t="shared" si="6"/>
        <v>9.3809015859511824</v>
      </c>
      <c r="T14">
        <f t="shared" si="7"/>
        <v>0.70431600070887834</v>
      </c>
      <c r="U14" s="12">
        <f t="shared" si="8"/>
        <v>4.4607189070867193E-2</v>
      </c>
      <c r="V14" s="16">
        <f t="shared" si="9"/>
        <v>0.63647137778684348</v>
      </c>
    </row>
    <row r="15" spans="1:24" x14ac:dyDescent="0.25">
      <c r="H15" s="7">
        <f t="shared" si="10"/>
        <v>49263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0.25</v>
      </c>
      <c r="Q15" s="11">
        <f t="shared" si="3"/>
        <v>11.128767123287671</v>
      </c>
      <c r="R15" s="14">
        <f t="shared" si="5"/>
        <v>0.97976107880969021</v>
      </c>
      <c r="S15" s="15">
        <f t="shared" si="6"/>
        <v>10.204137910572486</v>
      </c>
      <c r="T15">
        <f t="shared" si="7"/>
        <v>0.68167407116016265</v>
      </c>
      <c r="U15" s="12">
        <f t="shared" si="8"/>
        <v>4.4433610897725934E-2</v>
      </c>
      <c r="V15" s="16">
        <f t="shared" si="9"/>
        <v>0.60988106994444202</v>
      </c>
    </row>
    <row r="16" spans="1:24" x14ac:dyDescent="0.25">
      <c r="H16" s="7">
        <f t="shared" si="10"/>
        <v>49628</v>
      </c>
      <c r="I16">
        <f t="shared" si="4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0.25</v>
      </c>
      <c r="Q16" s="11">
        <f t="shared" si="3"/>
        <v>12.128767123287671</v>
      </c>
      <c r="R16" s="14">
        <f t="shared" si="5"/>
        <v>0.97615022075310454</v>
      </c>
      <c r="S16" s="15">
        <f t="shared" si="6"/>
        <v>11.005791533617112</v>
      </c>
      <c r="T16">
        <f t="shared" si="7"/>
        <v>0.66007970986804709</v>
      </c>
      <c r="U16" s="12">
        <f t="shared" si="8"/>
        <v>4.424871419364327E-2</v>
      </c>
      <c r="V16" s="16">
        <f t="shared" si="9"/>
        <v>0.58468481778388648</v>
      </c>
    </row>
    <row r="17" spans="8:22" x14ac:dyDescent="0.25">
      <c r="H17" s="7">
        <f t="shared" si="10"/>
        <v>49994</v>
      </c>
      <c r="I17">
        <f t="shared" si="4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0.25</v>
      </c>
      <c r="Q17" s="11">
        <f t="shared" si="3"/>
        <v>13.131506849315068</v>
      </c>
      <c r="R17" s="14">
        <f t="shared" si="5"/>
        <v>0.97227409579906809</v>
      </c>
      <c r="S17" s="15">
        <f t="shared" si="6"/>
        <v>11.787528618593168</v>
      </c>
      <c r="T17">
        <f t="shared" si="7"/>
        <v>0.63943892610130226</v>
      </c>
      <c r="U17" s="12">
        <f t="shared" si="8"/>
        <v>4.4052768675616957E-2</v>
      </c>
      <c r="V17" s="16">
        <f t="shared" si="9"/>
        <v>0.56075048896673452</v>
      </c>
    </row>
    <row r="18" spans="8:22" x14ac:dyDescent="0.25">
      <c r="H18" s="7">
        <f t="shared" si="10"/>
        <v>50359</v>
      </c>
      <c r="I18">
        <f t="shared" si="4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0.25</v>
      </c>
      <c r="Q18" s="11">
        <f t="shared" si="3"/>
        <v>14.131506849315068</v>
      </c>
      <c r="R18" s="14">
        <f t="shared" si="5"/>
        <v>0.96816452228956562</v>
      </c>
      <c r="S18" s="15">
        <f t="shared" si="6"/>
        <v>12.54473226721225</v>
      </c>
      <c r="T18">
        <f t="shared" si="7"/>
        <v>0.61982476548681553</v>
      </c>
      <c r="U18" s="12">
        <f t="shared" si="8"/>
        <v>4.3847662694721116E-2</v>
      </c>
      <c r="V18" s="16">
        <f t="shared" si="9"/>
        <v>0.53814160577301262</v>
      </c>
    </row>
    <row r="19" spans="8:22" x14ac:dyDescent="0.25">
      <c r="H19" s="7">
        <f t="shared" si="10"/>
        <v>50724</v>
      </c>
      <c r="I19">
        <f t="shared" si="4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0.25</v>
      </c>
      <c r="Q19" s="11">
        <f t="shared" si="3"/>
        <v>15.131506849315068</v>
      </c>
      <c r="R19" s="14">
        <f t="shared" si="5"/>
        <v>0.96382202619568147</v>
      </c>
      <c r="S19" s="15">
        <f t="shared" si="6"/>
        <v>13.279315995360287</v>
      </c>
      <c r="T19">
        <f t="shared" si="7"/>
        <v>0.60113947178026095</v>
      </c>
      <c r="U19" s="12">
        <f t="shared" si="8"/>
        <v>4.3633683032899093E-2</v>
      </c>
      <c r="V19" s="16">
        <f t="shared" si="9"/>
        <v>0.51672556178945184</v>
      </c>
    </row>
    <row r="20" spans="8:22" x14ac:dyDescent="0.25">
      <c r="H20" s="7">
        <f t="shared" si="10"/>
        <v>51089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0.25</v>
      </c>
      <c r="Q20" s="11">
        <f t="shared" si="3"/>
        <v>16.13150684931507</v>
      </c>
      <c r="R20" s="14">
        <f t="shared" si="5"/>
        <v>0.95925748516185827</v>
      </c>
      <c r="S20" s="15">
        <f t="shared" si="6"/>
        <v>13.991114686846444</v>
      </c>
      <c r="T20">
        <f t="shared" si="7"/>
        <v>0.58334303242122176</v>
      </c>
      <c r="U20" s="12">
        <f t="shared" si="8"/>
        <v>4.3411626012233945E-2</v>
      </c>
      <c r="V20" s="16">
        <f t="shared" si="9"/>
        <v>0.49643886134892823</v>
      </c>
    </row>
    <row r="21" spans="8:22" x14ac:dyDescent="0.25">
      <c r="H21" s="7">
        <f t="shared" si="10"/>
        <v>51455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0.25</v>
      </c>
      <c r="Q21" s="11">
        <f t="shared" si="3"/>
        <v>17.134246575342466</v>
      </c>
      <c r="R21" s="14">
        <f t="shared" si="5"/>
        <v>0.95446846564837762</v>
      </c>
      <c r="S21" s="15">
        <f t="shared" si="6"/>
        <v>14.681902548045613</v>
      </c>
      <c r="T21">
        <f t="shared" si="7"/>
        <v>0.56635040087947819</v>
      </c>
      <c r="U21" s="12">
        <f t="shared" si="8"/>
        <v>4.3181634628972662E-2</v>
      </c>
      <c r="V21" s="16">
        <f t="shared" si="9"/>
        <v>0.47716889401567986</v>
      </c>
    </row>
    <row r="22" spans="8:22" x14ac:dyDescent="0.25">
      <c r="H22" s="7">
        <f t="shared" si="10"/>
        <v>51820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0.25</v>
      </c>
      <c r="Q22" s="11">
        <f t="shared" si="3"/>
        <v>18.134246575342466</v>
      </c>
      <c r="R22" s="14">
        <f t="shared" si="5"/>
        <v>0.94949209638089838</v>
      </c>
      <c r="S22" s="15">
        <f t="shared" si="6"/>
        <v>15.34790157342664</v>
      </c>
      <c r="T22">
        <f t="shared" si="7"/>
        <v>0.55021510694525022</v>
      </c>
      <c r="U22" s="12">
        <f t="shared" si="8"/>
        <v>4.2945729021475594E-2</v>
      </c>
      <c r="V22" s="16">
        <f t="shared" si="9"/>
        <v>0.45896173453026351</v>
      </c>
    </row>
    <row r="23" spans="8:22" x14ac:dyDescent="0.25">
      <c r="H23" s="7">
        <f t="shared" si="10"/>
        <v>52185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0.25</v>
      </c>
      <c r="Q23" s="11">
        <f t="shared" si="3"/>
        <v>19.134246575342466</v>
      </c>
      <c r="R23" s="14">
        <f t="shared" si="5"/>
        <v>0.94432646920562091</v>
      </c>
      <c r="S23" s="15">
        <f t="shared" si="6"/>
        <v>15.991100914975135</v>
      </c>
      <c r="T23">
        <f t="shared" si="7"/>
        <v>0.53485105424462553</v>
      </c>
      <c r="U23" s="12">
        <f t="shared" si="8"/>
        <v>4.2704030005288676E-2</v>
      </c>
      <c r="V23" s="16">
        <f t="shared" si="9"/>
        <v>0.4417065904329735</v>
      </c>
    </row>
    <row r="24" spans="8:22" x14ac:dyDescent="0.25">
      <c r="H24" s="7">
        <f t="shared" si="10"/>
        <v>52550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0.25</v>
      </c>
      <c r="Q24" s="11">
        <f t="shared" si="3"/>
        <v>20.134246575342466</v>
      </c>
      <c r="R24" s="14">
        <f t="shared" si="5"/>
        <v>0.93898239268583839</v>
      </c>
      <c r="S24" s="15">
        <f t="shared" si="6"/>
        <v>16.611639249054399</v>
      </c>
      <c r="T24">
        <f t="shared" si="7"/>
        <v>0.52022060010977134</v>
      </c>
      <c r="U24" s="12">
        <f t="shared" si="8"/>
        <v>4.2457252569220588E-2</v>
      </c>
      <c r="V24" s="16">
        <f t="shared" si="9"/>
        <v>0.42534920349882743</v>
      </c>
    </row>
    <row r="25" spans="8:22" x14ac:dyDescent="0.25">
      <c r="H25" s="7">
        <f t="shared" si="10"/>
        <v>52916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0.25</v>
      </c>
      <c r="Q25" s="11">
        <f t="shared" si="3"/>
        <v>21.136986301369863</v>
      </c>
      <c r="R25" s="14">
        <f t="shared" si="5"/>
        <v>0.93345523138352093</v>
      </c>
      <c r="S25" s="15">
        <f t="shared" si="6"/>
        <v>17.211326089998927</v>
      </c>
      <c r="T25">
        <f t="shared" si="7"/>
        <v>0.50624986994472065</v>
      </c>
      <c r="U25" s="12">
        <f t="shared" si="8"/>
        <v>4.220539142879709E-2</v>
      </c>
      <c r="V25" s="16">
        <f t="shared" si="9"/>
        <v>0.40979641947129075</v>
      </c>
    </row>
    <row r="26" spans="8:22" x14ac:dyDescent="0.25">
      <c r="H26" s="7">
        <f t="shared" si="10"/>
        <v>53281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0.25</v>
      </c>
      <c r="Q26" s="11">
        <f t="shared" si="3"/>
        <v>22.136986301369863</v>
      </c>
      <c r="R26" s="14">
        <f t="shared" si="5"/>
        <v>0.92778574126563595</v>
      </c>
      <c r="S26" s="15">
        <f t="shared" si="6"/>
        <v>17.78714414550938</v>
      </c>
      <c r="T26">
        <f t="shared" si="7"/>
        <v>0.49297962742094337</v>
      </c>
      <c r="U26" s="12">
        <f t="shared" si="8"/>
        <v>4.1950484128876045E-2</v>
      </c>
      <c r="V26" s="16">
        <f t="shared" si="9"/>
        <v>0.39508383642141409</v>
      </c>
    </row>
    <row r="27" spans="8:22" x14ac:dyDescent="0.25">
      <c r="H27" s="7">
        <f t="shared" si="10"/>
        <v>53646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0.25</v>
      </c>
      <c r="Q27" s="11">
        <f t="shared" si="3"/>
        <v>23.136986301369863</v>
      </c>
      <c r="R27" s="14">
        <f t="shared" si="5"/>
        <v>0.92196938595069677</v>
      </c>
      <c r="S27" s="15">
        <f t="shared" si="6"/>
        <v>18.341073733875742</v>
      </c>
      <c r="T27">
        <f t="shared" si="7"/>
        <v>0.48033647495253673</v>
      </c>
      <c r="U27" s="12">
        <f t="shared" si="8"/>
        <v>4.1692478079165596E-2</v>
      </c>
      <c r="V27" s="16">
        <f t="shared" si="9"/>
        <v>0.38112102850225643</v>
      </c>
    </row>
    <row r="28" spans="8:22" x14ac:dyDescent="0.25">
      <c r="H28" s="7">
        <f t="shared" si="10"/>
        <v>54011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0.25</v>
      </c>
      <c r="Q28" s="11">
        <f t="shared" si="3"/>
        <v>24.136986301369863</v>
      </c>
      <c r="R28" s="14">
        <f t="shared" si="5"/>
        <v>0.91601628966605053</v>
      </c>
      <c r="S28" s="15">
        <f t="shared" si="6"/>
        <v>18.873472648032159</v>
      </c>
      <c r="T28">
        <f t="shared" si="7"/>
        <v>0.46828739314368834</v>
      </c>
      <c r="U28" s="12">
        <f t="shared" si="8"/>
        <v>4.1431972250089717E-2</v>
      </c>
      <c r="V28" s="16">
        <f t="shared" si="9"/>
        <v>0.36786364232508706</v>
      </c>
    </row>
    <row r="29" spans="8:22" x14ac:dyDescent="0.25">
      <c r="H29" s="7">
        <f t="shared" si="10"/>
        <v>54377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0.25</v>
      </c>
      <c r="Q29" s="11">
        <f t="shared" si="3"/>
        <v>25.139726027397259</v>
      </c>
      <c r="R29" s="14">
        <f t="shared" si="5"/>
        <v>0.90991951380903813</v>
      </c>
      <c r="S29" s="15">
        <f t="shared" si="6"/>
        <v>19.386112136857975</v>
      </c>
      <c r="T29">
        <f t="shared" si="7"/>
        <v>0.45676994557166906</v>
      </c>
      <c r="U29" s="12">
        <f t="shared" si="8"/>
        <v>4.1168812872419802E-2</v>
      </c>
      <c r="V29" s="16">
        <f t="shared" si="9"/>
        <v>0.35523608709061072</v>
      </c>
    </row>
    <row r="30" spans="8:22" x14ac:dyDescent="0.25">
      <c r="H30" s="7">
        <f t="shared" si="10"/>
        <v>54742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>
        <f t="shared" si="4"/>
        <v>0</v>
      </c>
      <c r="O30">
        <f t="shared" si="4"/>
        <v>0.25</v>
      </c>
      <c r="Q30" s="11">
        <f t="shared" si="3"/>
        <v>26.139726027397259</v>
      </c>
      <c r="R30" s="14">
        <f t="shared" si="5"/>
        <v>0.90372201912658712</v>
      </c>
      <c r="S30" s="15">
        <f t="shared" si="6"/>
        <v>19.876627331233085</v>
      </c>
      <c r="T30">
        <f t="shared" si="7"/>
        <v>0.44581662399614935</v>
      </c>
      <c r="U30" s="12">
        <f t="shared" si="8"/>
        <v>4.0904974582475204E-2</v>
      </c>
      <c r="V30" s="16">
        <f t="shared" si="9"/>
        <v>0.34326764542247407</v>
      </c>
    </row>
    <row r="31" spans="8:22" x14ac:dyDescent="0.25">
      <c r="H31" s="7">
        <f t="shared" si="10"/>
        <v>55107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0.25</v>
      </c>
      <c r="Q31" s="11">
        <f t="shared" si="3"/>
        <v>27.139726027397259</v>
      </c>
      <c r="R31" s="14">
        <f t="shared" si="5"/>
        <v>0.89741666150888122</v>
      </c>
      <c r="S31" s="15">
        <f t="shared" si="6"/>
        <v>20.346914451211681</v>
      </c>
      <c r="T31">
        <f t="shared" si="7"/>
        <v>0.43536617171494124</v>
      </c>
      <c r="U31" s="12">
        <f t="shared" si="8"/>
        <v>4.0640244013139364E-2</v>
      </c>
      <c r="V31" s="16">
        <f t="shared" si="9"/>
        <v>0.33188555338881992</v>
      </c>
    </row>
    <row r="32" spans="8:22" x14ac:dyDescent="0.25">
      <c r="H32" s="7">
        <f t="shared" si="10"/>
        <v>55472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0.25</v>
      </c>
      <c r="Q32" s="11">
        <f t="shared" si="3"/>
        <v>28.139726027397259</v>
      </c>
      <c r="R32" s="14">
        <f t="shared" si="5"/>
        <v>0.89101249281044936</v>
      </c>
      <c r="S32" s="15">
        <f t="shared" si="6"/>
        <v>20.797466930417709</v>
      </c>
      <c r="T32">
        <f t="shared" si="7"/>
        <v>0.42539089498117588</v>
      </c>
      <c r="U32" s="12">
        <f t="shared" si="8"/>
        <v>4.0375092459754666E-2</v>
      </c>
      <c r="V32" s="16">
        <f t="shared" si="9"/>
        <v>0.32105461178594674</v>
      </c>
    </row>
    <row r="33" spans="4:22" x14ac:dyDescent="0.25">
      <c r="H33" s="7">
        <f t="shared" si="10"/>
        <v>55838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100.25</v>
      </c>
      <c r="Q33" s="11">
        <f t="shared" si="3"/>
        <v>29.142465753424659</v>
      </c>
      <c r="R33" s="14">
        <f t="shared" si="5"/>
        <v>0.88450035249430026</v>
      </c>
      <c r="S33" s="15">
        <f t="shared" si="6"/>
        <v>21.229956197528473</v>
      </c>
      <c r="T33">
        <f t="shared" si="7"/>
        <v>0.41583891815549073</v>
      </c>
      <c r="U33" s="12">
        <f t="shared" si="8"/>
        <v>4.0109233621647158E-2</v>
      </c>
      <c r="V33" s="16">
        <f t="shared" si="9"/>
        <v>0.31071413573244439</v>
      </c>
    </row>
    <row r="35" spans="4:22" x14ac:dyDescent="0.25">
      <c r="H35" t="s">
        <v>55</v>
      </c>
      <c r="I35" cm="1">
        <f t="array" ref="I35:O35">TRANSPOSE(C4:C10)</f>
        <v>96.38</v>
      </c>
      <c r="J35">
        <v>97.13</v>
      </c>
      <c r="K35">
        <v>99.35</v>
      </c>
      <c r="L35">
        <v>90.54</v>
      </c>
      <c r="M35">
        <v>86</v>
      </c>
      <c r="N35">
        <v>92.4</v>
      </c>
      <c r="O35">
        <v>46.4</v>
      </c>
    </row>
    <row r="36" spans="4:22" x14ac:dyDescent="0.25">
      <c r="H36" t="s">
        <v>56</v>
      </c>
      <c r="I36">
        <f>SUMPRODUCT(I4:I33,$V$4:$V$33)</f>
        <v>95.014195206901903</v>
      </c>
      <c r="J36">
        <f t="shared" ref="J36:O36" si="11">SUMPRODUCT(J4:J33,$V$4:$V$33)</f>
        <v>95.784308376966209</v>
      </c>
      <c r="K36">
        <f t="shared" si="11"/>
        <v>95.139860557864509</v>
      </c>
      <c r="L36">
        <f t="shared" si="11"/>
        <v>85.214305227341143</v>
      </c>
      <c r="M36">
        <f t="shared" si="11"/>
        <v>78.876508786885466</v>
      </c>
      <c r="N36">
        <f t="shared" si="11"/>
        <v>83.49527343465553</v>
      </c>
      <c r="O36">
        <f t="shared" si="11"/>
        <v>35.358219926519595</v>
      </c>
    </row>
    <row r="37" spans="4:22" x14ac:dyDescent="0.25">
      <c r="H37" t="s">
        <v>57</v>
      </c>
      <c r="I37">
        <f>(I35-I36)^2</f>
        <v>1.8654227328497239</v>
      </c>
      <c r="J37">
        <f t="shared" ref="J37:O37" si="12">(J35-J36)^2</f>
        <v>1.8108859443033072</v>
      </c>
      <c r="K37">
        <f t="shared" si="12"/>
        <v>17.725274122224896</v>
      </c>
      <c r="L37">
        <f t="shared" si="12"/>
        <v>28.363024811525943</v>
      </c>
      <c r="M37">
        <f t="shared" si="12"/>
        <v>50.744127063319972</v>
      </c>
      <c r="N37">
        <f t="shared" si="12"/>
        <v>79.294155203551611</v>
      </c>
      <c r="O37">
        <f t="shared" si="12"/>
        <v>121.9209071911089</v>
      </c>
    </row>
    <row r="39" spans="4:22" x14ac:dyDescent="0.25">
      <c r="H39" t="s">
        <v>74</v>
      </c>
      <c r="I39">
        <f>SUM(I37:O37)</f>
        <v>301.72379706888432</v>
      </c>
      <c r="U39" s="1">
        <f>AVERAGE(U4:U33)</f>
        <v>4.3418970929300804E-2</v>
      </c>
    </row>
    <row r="43" spans="4:22" x14ac:dyDescent="0.25">
      <c r="D43" s="7"/>
      <c r="K43" s="3"/>
    </row>
    <row r="44" spans="4:22" x14ac:dyDescent="0.25">
      <c r="D44" s="7"/>
      <c r="K44" s="3"/>
    </row>
    <row r="45" spans="4:22" x14ac:dyDescent="0.25">
      <c r="D45" s="7"/>
      <c r="K45" s="3"/>
    </row>
    <row r="46" spans="4:22" x14ac:dyDescent="0.25">
      <c r="D46" s="7"/>
      <c r="K46" s="3"/>
    </row>
    <row r="47" spans="4:22" x14ac:dyDescent="0.25">
      <c r="D47" s="7"/>
      <c r="K47" s="3"/>
    </row>
    <row r="48" spans="4:22" x14ac:dyDescent="0.25">
      <c r="D48" s="7"/>
      <c r="K48" s="3"/>
    </row>
    <row r="49" spans="4:11" x14ac:dyDescent="0.25">
      <c r="D49" s="7"/>
      <c r="K49" s="3"/>
    </row>
  </sheetData>
  <autoFilter ref="A3:F10" xr:uid="{3123E469-286C-43A5-8CF5-131E56FEC6E0}">
    <sortState xmlns:xlrd2="http://schemas.microsoft.com/office/spreadsheetml/2017/richdata2" ref="A4:F10">
      <sortCondition ref="D3:D1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A975-7210-42CD-B734-F29DD75F7402}">
  <dimension ref="A1:X49"/>
  <sheetViews>
    <sheetView topLeftCell="B1" workbookViewId="0">
      <selection activeCell="I36" sqref="I36:O36"/>
    </sheetView>
  </sheetViews>
  <sheetFormatPr defaultRowHeight="15" x14ac:dyDescent="0.25"/>
  <cols>
    <col min="1" max="1" width="13.5703125" bestFit="1" customWidth="1"/>
    <col min="2" max="2" width="11.5703125" bestFit="1" customWidth="1"/>
    <col min="4" max="4" width="10.42578125" bestFit="1" customWidth="1"/>
    <col min="6" max="6" width="19.42578125" bestFit="1" customWidth="1"/>
    <col min="8" max="8" width="10.42578125" bestFit="1" customWidth="1"/>
    <col min="9" max="15" width="13.5703125" bestFit="1" customWidth="1"/>
    <col min="24" max="24" width="10.140625" bestFit="1" customWidth="1"/>
  </cols>
  <sheetData>
    <row r="1" spans="1:24" x14ac:dyDescent="0.25">
      <c r="A1" t="s">
        <v>27</v>
      </c>
      <c r="B1" s="7">
        <v>45383</v>
      </c>
      <c r="H1" t="s">
        <v>28</v>
      </c>
      <c r="I1" s="8" cm="1">
        <f t="array" ref="I1:O1">TRANSPOSE(B4:B10)</f>
        <v>0</v>
      </c>
      <c r="J1" s="8">
        <v>1.7500000000000002E-2</v>
      </c>
      <c r="K1" s="8">
        <v>2.2499999999999999E-2</v>
      </c>
      <c r="L1" s="8">
        <v>5.0000000000000001E-3</v>
      </c>
      <c r="M1" s="8">
        <v>5.0000000000000001E-3</v>
      </c>
      <c r="N1" s="8">
        <v>2.2499999999999999E-2</v>
      </c>
      <c r="O1" s="8">
        <v>2.5000000000000001E-3</v>
      </c>
      <c r="U1">
        <v>0.01</v>
      </c>
      <c r="X1" t="s">
        <v>72</v>
      </c>
    </row>
    <row r="2" spans="1:24" x14ac:dyDescent="0.25">
      <c r="H2" t="s">
        <v>25</v>
      </c>
      <c r="I2" s="7" cm="1">
        <f t="array" ref="I2:O2">TRANSPOSE(D4:D10)</f>
        <v>45611</v>
      </c>
      <c r="J2" s="7">
        <v>45976</v>
      </c>
      <c r="K2" s="7">
        <v>46341</v>
      </c>
      <c r="L2" s="7">
        <v>46706</v>
      </c>
      <c r="M2" s="7">
        <v>47437</v>
      </c>
      <c r="N2" s="7">
        <v>48898</v>
      </c>
      <c r="O2" s="7">
        <v>55838</v>
      </c>
      <c r="Q2" t="s">
        <v>31</v>
      </c>
      <c r="W2" t="s">
        <v>64</v>
      </c>
      <c r="X2" s="13">
        <v>1.0172189450599899E-2</v>
      </c>
    </row>
    <row r="3" spans="1:24" x14ac:dyDescent="0.25">
      <c r="A3" t="s">
        <v>33</v>
      </c>
      <c r="B3" t="s">
        <v>26</v>
      </c>
      <c r="C3" s="10" t="s">
        <v>34</v>
      </c>
      <c r="D3" t="s">
        <v>35</v>
      </c>
      <c r="E3" t="s">
        <v>36</v>
      </c>
      <c r="F3" t="s">
        <v>37</v>
      </c>
      <c r="H3" t="s">
        <v>38</v>
      </c>
      <c r="I3" t="str" cm="1">
        <f t="array" ref="I3:O3">TRANSPOSE(A4:A10)</f>
        <v>DK0009924292</v>
      </c>
      <c r="J3" t="str">
        <v>DK0009923138</v>
      </c>
      <c r="K3" t="str">
        <v>DK0009924888</v>
      </c>
      <c r="L3" t="str">
        <v>DK0009923567</v>
      </c>
      <c r="M3" t="str">
        <v>DK0009923807</v>
      </c>
      <c r="N3" t="str">
        <v>DK0009924532</v>
      </c>
      <c r="O3" t="str">
        <v>DK0009924029</v>
      </c>
      <c r="Q3" t="s">
        <v>6</v>
      </c>
      <c r="R3" t="s">
        <v>70</v>
      </c>
      <c r="S3" t="s">
        <v>71</v>
      </c>
      <c r="T3" t="s">
        <v>40</v>
      </c>
      <c r="U3" t="s">
        <v>39</v>
      </c>
      <c r="V3" t="s">
        <v>40</v>
      </c>
      <c r="W3" t="s">
        <v>65</v>
      </c>
      <c r="X3" s="13">
        <v>3.4221073094520403E-2</v>
      </c>
    </row>
    <row r="4" spans="1:24" x14ac:dyDescent="0.25">
      <c r="A4" t="s">
        <v>42</v>
      </c>
      <c r="B4" s="12">
        <v>0</v>
      </c>
      <c r="C4" s="4">
        <v>96.38</v>
      </c>
      <c r="D4" s="7">
        <v>45611</v>
      </c>
      <c r="E4" s="6">
        <f t="shared" ref="E4:E10" si="0">(1-($H$4-$B$1)/365)*B4*100</f>
        <v>0</v>
      </c>
      <c r="F4" s="6">
        <f t="shared" ref="F4:F10" si="1">C4+E4</f>
        <v>96.38</v>
      </c>
      <c r="H4" s="7">
        <v>45611</v>
      </c>
      <c r="I4">
        <f>IF($H4&gt;I$2,0,IF($H4=I$2,1+I$1,I$1)*100)</f>
        <v>100</v>
      </c>
      <c r="J4">
        <f t="shared" ref="J4:O19" si="2">IF($H4&gt;J$2,0,IF($H4=J$2,1+J$1,J$1)*100)</f>
        <v>1.7500000000000002</v>
      </c>
      <c r="K4">
        <f t="shared" si="2"/>
        <v>2.25</v>
      </c>
      <c r="L4">
        <f t="shared" si="2"/>
        <v>0.5</v>
      </c>
      <c r="M4">
        <f t="shared" si="2"/>
        <v>0.5</v>
      </c>
      <c r="N4">
        <f t="shared" si="2"/>
        <v>2.25</v>
      </c>
      <c r="O4">
        <f t="shared" si="2"/>
        <v>0.25</v>
      </c>
      <c r="Q4" s="11">
        <f t="shared" ref="Q4:Q33" si="3">(H4-$B$1)/365</f>
        <v>0.62465753424657533</v>
      </c>
      <c r="R4" s="14">
        <f>EXP((S4-Q4)*($X$2^2*$X$3-$X$4^2/2)/($X$2^2)-$X$4^2*S4^2/(4*$X$2))</f>
        <v>0.99993454138096882</v>
      </c>
      <c r="S4" s="15">
        <f>(1-EXP(-$X$2*Q4))/$X$2</f>
        <v>0.62267715192341322</v>
      </c>
      <c r="T4">
        <f>R4*EXP(-S4*$X$5)</f>
        <v>0.97885271159647913</v>
      </c>
      <c r="U4" s="12">
        <f>-1/Q4*LN(T4)+$U$1</f>
        <v>4.4217302130664861E-2</v>
      </c>
      <c r="V4" s="16">
        <f>EXP(-U4*Q4)</f>
        <v>0.97275729195344629</v>
      </c>
      <c r="W4" t="s">
        <v>66</v>
      </c>
      <c r="X4" s="13">
        <v>7.55887677064621E-3</v>
      </c>
    </row>
    <row r="5" spans="1:24" x14ac:dyDescent="0.25">
      <c r="A5" t="s">
        <v>44</v>
      </c>
      <c r="B5" s="12">
        <v>1.7500000000000002E-2</v>
      </c>
      <c r="C5" s="4">
        <v>97.13</v>
      </c>
      <c r="D5" s="7">
        <v>45976</v>
      </c>
      <c r="E5" s="6">
        <f t="shared" si="0"/>
        <v>0.6568493150684932</v>
      </c>
      <c r="F5" s="6">
        <f t="shared" si="1"/>
        <v>97.786849315068494</v>
      </c>
      <c r="H5" s="7">
        <f>DATE(YEAR(H4)+1,MONTH(H4),DAY(H4))</f>
        <v>45976</v>
      </c>
      <c r="I5">
        <f t="shared" ref="I5:O33" si="4">IF($H5&gt;I$2,0,IF($H5=I$2,1+I$1,I$1)*100)</f>
        <v>0</v>
      </c>
      <c r="J5">
        <f t="shared" si="2"/>
        <v>101.75</v>
      </c>
      <c r="K5">
        <f t="shared" si="2"/>
        <v>2.25</v>
      </c>
      <c r="L5">
        <f t="shared" si="2"/>
        <v>0.5</v>
      </c>
      <c r="M5">
        <f t="shared" si="2"/>
        <v>0.5</v>
      </c>
      <c r="N5">
        <f t="shared" si="2"/>
        <v>2.25</v>
      </c>
      <c r="O5">
        <f t="shared" si="2"/>
        <v>0.25</v>
      </c>
      <c r="Q5" s="11">
        <f t="shared" si="3"/>
        <v>1.6246575342465754</v>
      </c>
      <c r="R5" s="14">
        <f t="shared" ref="R5:R33" si="5">EXP((S5-Q5)*($X$2^2*$X$3-$X$4^2/2)/($X$2^2)-$X$4^2*S5^2/(4*$X$2))</f>
        <v>0.99958353001011124</v>
      </c>
      <c r="S5" s="15">
        <f t="shared" ref="S5:S33" si="6">(1-EXP(-$X$2*Q5))/$X$2</f>
        <v>1.6113063753648278</v>
      </c>
      <c r="T5">
        <f t="shared" ref="T5:T33" si="7">R5*EXP(-S5*$X$5)</f>
        <v>0.94595803421520364</v>
      </c>
      <c r="U5" s="12">
        <f t="shared" ref="U5:U33" si="8">-1/Q5*LN(T5)+$U$1</f>
        <v>4.4196174293879786E-2</v>
      </c>
      <c r="V5" s="16">
        <f t="shared" ref="V5:V33" si="9">EXP(-U5*Q5)</f>
        <v>0.93071362577022176</v>
      </c>
      <c r="W5" t="s">
        <v>69</v>
      </c>
      <c r="X5" s="13">
        <v>3.4221000000000001E-2</v>
      </c>
    </row>
    <row r="6" spans="1:24" x14ac:dyDescent="0.25">
      <c r="A6" t="s">
        <v>46</v>
      </c>
      <c r="B6" s="12">
        <v>2.2499999999999999E-2</v>
      </c>
      <c r="C6" s="4">
        <v>99.35</v>
      </c>
      <c r="D6" s="7">
        <v>46341</v>
      </c>
      <c r="E6" s="6">
        <f t="shared" si="0"/>
        <v>0.84452054794520548</v>
      </c>
      <c r="F6" s="6">
        <f t="shared" si="1"/>
        <v>100.1945205479452</v>
      </c>
      <c r="H6" s="7">
        <f t="shared" ref="H6:H33" si="10">DATE(YEAR(H5)+1,MONTH(H5),DAY(H5))</f>
        <v>46341</v>
      </c>
      <c r="I6">
        <f t="shared" si="4"/>
        <v>0</v>
      </c>
      <c r="J6">
        <f t="shared" si="2"/>
        <v>0</v>
      </c>
      <c r="K6">
        <f t="shared" si="2"/>
        <v>102.25</v>
      </c>
      <c r="L6">
        <f t="shared" si="2"/>
        <v>0.5</v>
      </c>
      <c r="M6">
        <f t="shared" si="2"/>
        <v>0.5</v>
      </c>
      <c r="N6">
        <f t="shared" si="2"/>
        <v>2.25</v>
      </c>
      <c r="O6">
        <f t="shared" si="2"/>
        <v>0.25</v>
      </c>
      <c r="Q6" s="11">
        <f t="shared" si="3"/>
        <v>2.6246575342465754</v>
      </c>
      <c r="R6" s="14">
        <f t="shared" si="5"/>
        <v>0.99898088215202097</v>
      </c>
      <c r="S6" s="15">
        <f t="shared" si="6"/>
        <v>2.5899300504910712</v>
      </c>
      <c r="T6">
        <f t="shared" si="7"/>
        <v>0.91425145200672175</v>
      </c>
      <c r="U6" s="12">
        <f t="shared" si="8"/>
        <v>4.4156697622362906E-2</v>
      </c>
      <c r="V6" s="16">
        <f t="shared" si="9"/>
        <v>0.8905676513170715</v>
      </c>
    </row>
    <row r="7" spans="1:24" x14ac:dyDescent="0.25">
      <c r="A7" t="s">
        <v>48</v>
      </c>
      <c r="B7" s="12">
        <v>5.0000000000000001E-3</v>
      </c>
      <c r="C7" s="4">
        <v>90.54</v>
      </c>
      <c r="D7" s="7">
        <v>46706</v>
      </c>
      <c r="E7" s="6">
        <f t="shared" si="0"/>
        <v>0.18767123287671234</v>
      </c>
      <c r="F7" s="6">
        <f t="shared" si="1"/>
        <v>90.727671232876716</v>
      </c>
      <c r="H7" s="7">
        <f t="shared" si="10"/>
        <v>46706</v>
      </c>
      <c r="I7">
        <f t="shared" si="4"/>
        <v>0</v>
      </c>
      <c r="J7">
        <f t="shared" si="2"/>
        <v>0</v>
      </c>
      <c r="K7">
        <f t="shared" si="2"/>
        <v>0</v>
      </c>
      <c r="L7">
        <f t="shared" si="2"/>
        <v>100.49999999999999</v>
      </c>
      <c r="M7">
        <f t="shared" si="2"/>
        <v>0.5</v>
      </c>
      <c r="N7">
        <f t="shared" si="2"/>
        <v>2.25</v>
      </c>
      <c r="O7">
        <f t="shared" si="2"/>
        <v>0.25</v>
      </c>
      <c r="Q7" s="11">
        <f t="shared" si="3"/>
        <v>3.6246575342465754</v>
      </c>
      <c r="R7" s="14">
        <f t="shared" si="5"/>
        <v>0.99818394224585461</v>
      </c>
      <c r="S7" s="15">
        <f t="shared" si="6"/>
        <v>3.558649439731679</v>
      </c>
      <c r="T7">
        <f t="shared" si="7"/>
        <v>0.88373480891705503</v>
      </c>
      <c r="U7" s="12">
        <f t="shared" si="8"/>
        <v>4.4099290786927703E-2</v>
      </c>
      <c r="V7" s="16">
        <f t="shared" si="9"/>
        <v>0.8522760292701419</v>
      </c>
    </row>
    <row r="8" spans="1:24" x14ac:dyDescent="0.25">
      <c r="A8" t="s">
        <v>50</v>
      </c>
      <c r="B8" s="12">
        <v>5.0000000000000001E-3</v>
      </c>
      <c r="C8" s="4">
        <v>86</v>
      </c>
      <c r="D8" s="7">
        <v>47437</v>
      </c>
      <c r="E8" s="6">
        <f t="shared" si="0"/>
        <v>0.18767123287671234</v>
      </c>
      <c r="F8" s="6">
        <f t="shared" si="1"/>
        <v>86.18767123287671</v>
      </c>
      <c r="H8" s="7">
        <f t="shared" si="10"/>
        <v>47072</v>
      </c>
      <c r="I8">
        <f t="shared" si="4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0.5</v>
      </c>
      <c r="N8">
        <f t="shared" si="2"/>
        <v>2.25</v>
      </c>
      <c r="O8">
        <f t="shared" si="2"/>
        <v>0.25</v>
      </c>
      <c r="Q8" s="11">
        <f t="shared" si="3"/>
        <v>4.6273972602739724</v>
      </c>
      <c r="R8" s="14">
        <f t="shared" si="5"/>
        <v>0.99724563924474141</v>
      </c>
      <c r="S8" s="15">
        <f t="shared" si="6"/>
        <v>4.5201785702142541</v>
      </c>
      <c r="T8">
        <f t="shared" si="7"/>
        <v>0.85432534488266831</v>
      </c>
      <c r="U8" s="12">
        <f t="shared" si="8"/>
        <v>4.4024135595517627E-2</v>
      </c>
      <c r="V8" s="16">
        <f t="shared" si="9"/>
        <v>0.8156930455631145</v>
      </c>
    </row>
    <row r="9" spans="1:24" x14ac:dyDescent="0.25">
      <c r="A9" t="s">
        <v>52</v>
      </c>
      <c r="B9" s="12">
        <v>2.2499999999999999E-2</v>
      </c>
      <c r="C9" s="4">
        <v>92.4</v>
      </c>
      <c r="D9" s="7">
        <v>48898</v>
      </c>
      <c r="E9" s="6">
        <f t="shared" si="0"/>
        <v>0.84452054794520548</v>
      </c>
      <c r="F9" s="6">
        <f t="shared" si="1"/>
        <v>93.244520547945214</v>
      </c>
      <c r="H9" s="7">
        <f t="shared" si="10"/>
        <v>47437</v>
      </c>
      <c r="I9">
        <f t="shared" si="4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100.49999999999999</v>
      </c>
      <c r="N9">
        <f t="shared" si="2"/>
        <v>2.25</v>
      </c>
      <c r="O9">
        <f t="shared" si="2"/>
        <v>0.25</v>
      </c>
      <c r="Q9" s="11">
        <f t="shared" si="3"/>
        <v>5.6273972602739724</v>
      </c>
      <c r="R9" s="14">
        <f t="shared" si="5"/>
        <v>0.99622509511790225</v>
      </c>
      <c r="S9" s="15">
        <f t="shared" si="6"/>
        <v>5.4693626327960336</v>
      </c>
      <c r="T9">
        <f t="shared" si="7"/>
        <v>0.82617463402143343</v>
      </c>
      <c r="U9" s="12">
        <f t="shared" si="8"/>
        <v>4.393204667138579E-2</v>
      </c>
      <c r="V9" s="16">
        <f t="shared" si="9"/>
        <v>0.78096645682162924</v>
      </c>
    </row>
    <row r="10" spans="1:24" x14ac:dyDescent="0.25">
      <c r="A10" t="s">
        <v>54</v>
      </c>
      <c r="B10" s="12">
        <v>2.5000000000000001E-3</v>
      </c>
      <c r="C10" s="4">
        <v>46.4</v>
      </c>
      <c r="D10" s="7">
        <v>55838</v>
      </c>
      <c r="E10" s="6">
        <f t="shared" si="0"/>
        <v>9.3835616438356168E-2</v>
      </c>
      <c r="F10" s="6">
        <f t="shared" si="1"/>
        <v>46.493835616438353</v>
      </c>
      <c r="H10" s="7">
        <f t="shared" si="10"/>
        <v>47802</v>
      </c>
      <c r="I10">
        <f t="shared" si="4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2.25</v>
      </c>
      <c r="O10">
        <f t="shared" si="2"/>
        <v>0.25</v>
      </c>
      <c r="Q10" s="11">
        <f t="shared" si="3"/>
        <v>6.6273972602739724</v>
      </c>
      <c r="R10" s="14">
        <f t="shared" si="5"/>
        <v>0.99517200628376568</v>
      </c>
      <c r="S10" s="15">
        <f t="shared" si="6"/>
        <v>6.4089403568507182</v>
      </c>
      <c r="T10">
        <f t="shared" si="7"/>
        <v>0.79918722694322075</v>
      </c>
      <c r="U10" s="12">
        <f t="shared" si="8"/>
        <v>4.3823237882909455E-2</v>
      </c>
      <c r="V10" s="16">
        <f t="shared" si="9"/>
        <v>0.74793888665263364</v>
      </c>
    </row>
    <row r="11" spans="1:24" x14ac:dyDescent="0.25">
      <c r="B11" s="8"/>
      <c r="C11" s="4"/>
      <c r="D11" s="7"/>
      <c r="H11" s="7">
        <f t="shared" si="10"/>
        <v>48167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2.25</v>
      </c>
      <c r="O11">
        <f t="shared" si="2"/>
        <v>0.25</v>
      </c>
      <c r="Q11" s="11">
        <f t="shared" si="3"/>
        <v>7.6273972602739724</v>
      </c>
      <c r="R11" s="14">
        <f t="shared" si="5"/>
        <v>0.99413670843729629</v>
      </c>
      <c r="S11" s="15">
        <f t="shared" si="6"/>
        <v>7.3390089645542016</v>
      </c>
      <c r="T11">
        <f t="shared" si="7"/>
        <v>0.77334596125100519</v>
      </c>
      <c r="U11" s="12">
        <f t="shared" si="8"/>
        <v>4.369809715537129E-2</v>
      </c>
      <c r="V11" s="16">
        <f t="shared" si="9"/>
        <v>0.71655322731693372</v>
      </c>
    </row>
    <row r="12" spans="1:24" x14ac:dyDescent="0.25">
      <c r="B12" s="8"/>
      <c r="C12" s="4"/>
      <c r="D12" s="7"/>
      <c r="H12" s="7">
        <f t="shared" si="10"/>
        <v>48533</v>
      </c>
      <c r="I12">
        <f t="shared" si="4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2.25</v>
      </c>
      <c r="O12">
        <f t="shared" si="2"/>
        <v>0.25</v>
      </c>
      <c r="Q12" s="11">
        <f t="shared" si="3"/>
        <v>8.6301369863013697</v>
      </c>
      <c r="R12" s="14">
        <f t="shared" si="5"/>
        <v>0.99316529820663446</v>
      </c>
      <c r="S12" s="15">
        <f t="shared" si="6"/>
        <v>8.262174196495442</v>
      </c>
      <c r="T12">
        <f t="shared" si="7"/>
        <v>0.74856440865450613</v>
      </c>
      <c r="U12" s="12">
        <f t="shared" si="8"/>
        <v>4.3556596955254281E-2</v>
      </c>
      <c r="V12" s="16">
        <f t="shared" si="9"/>
        <v>0.68667140982320041</v>
      </c>
    </row>
    <row r="13" spans="1:24" x14ac:dyDescent="0.25">
      <c r="H13" s="7">
        <f t="shared" si="10"/>
        <v>48898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102.25</v>
      </c>
      <c r="O13">
        <f t="shared" si="2"/>
        <v>0.25</v>
      </c>
      <c r="Q13" s="11">
        <f t="shared" si="3"/>
        <v>9.6301369863013697</v>
      </c>
      <c r="R13" s="14">
        <f t="shared" si="5"/>
        <v>0.99231014975714826</v>
      </c>
      <c r="S13" s="15">
        <f t="shared" si="6"/>
        <v>9.1734869144454976</v>
      </c>
      <c r="T13">
        <f t="shared" si="7"/>
        <v>0.72495516653854708</v>
      </c>
      <c r="U13" s="12">
        <f t="shared" si="8"/>
        <v>4.3399884732096453E-2</v>
      </c>
      <c r="V13" s="16">
        <f t="shared" si="9"/>
        <v>0.65839723107795645</v>
      </c>
    </row>
    <row r="14" spans="1:24" x14ac:dyDescent="0.25">
      <c r="H14" s="7">
        <f t="shared" si="10"/>
        <v>49263</v>
      </c>
      <c r="I14">
        <f t="shared" si="4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0.25</v>
      </c>
      <c r="Q14" s="11">
        <f t="shared" si="3"/>
        <v>10.63013698630137</v>
      </c>
      <c r="R14" s="14">
        <f t="shared" si="5"/>
        <v>0.99161388121686833</v>
      </c>
      <c r="S14" s="15">
        <f t="shared" si="6"/>
        <v>10.075576575648421</v>
      </c>
      <c r="T14">
        <f t="shared" si="7"/>
        <v>0.70242419848576132</v>
      </c>
      <c r="U14" s="12">
        <f t="shared" si="8"/>
        <v>4.3227961837432612E-2</v>
      </c>
      <c r="V14" s="16">
        <f t="shared" si="9"/>
        <v>0.63158726747033267</v>
      </c>
    </row>
    <row r="15" spans="1:24" x14ac:dyDescent="0.25">
      <c r="H15" s="7">
        <f t="shared" si="10"/>
        <v>49628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0.25</v>
      </c>
      <c r="Q15" s="11">
        <f t="shared" si="3"/>
        <v>11.63013698630137</v>
      </c>
      <c r="R15" s="14">
        <f t="shared" si="5"/>
        <v>0.99112040878911312</v>
      </c>
      <c r="S15" s="15">
        <f t="shared" si="6"/>
        <v>10.968536523227893</v>
      </c>
      <c r="T15">
        <f t="shared" si="7"/>
        <v>0.68094513727356065</v>
      </c>
      <c r="U15" s="12">
        <f t="shared" si="8"/>
        <v>4.3041187609144702E-2</v>
      </c>
      <c r="V15" s="16">
        <f t="shared" si="9"/>
        <v>0.60618206063178515</v>
      </c>
    </row>
    <row r="16" spans="1:24" x14ac:dyDescent="0.25">
      <c r="H16" s="7">
        <f t="shared" si="10"/>
        <v>49994</v>
      </c>
      <c r="I16">
        <f t="shared" si="4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0.25</v>
      </c>
      <c r="Q16" s="11">
        <f t="shared" si="3"/>
        <v>12.632876712328768</v>
      </c>
      <c r="R16" s="14">
        <f t="shared" si="5"/>
        <v>0.99087199338744358</v>
      </c>
      <c r="S16" s="15">
        <f t="shared" si="6"/>
        <v>11.854868531741662</v>
      </c>
      <c r="T16">
        <f t="shared" si="7"/>
        <v>0.66043578724090302</v>
      </c>
      <c r="U16" s="12">
        <f t="shared" si="8"/>
        <v>4.2839343532089749E-2</v>
      </c>
      <c r="V16" s="16">
        <f t="shared" si="9"/>
        <v>0.58205860218627714</v>
      </c>
    </row>
    <row r="17" spans="8:22" x14ac:dyDescent="0.25">
      <c r="H17" s="7">
        <f t="shared" si="10"/>
        <v>50359</v>
      </c>
      <c r="I17">
        <f t="shared" si="4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0.25</v>
      </c>
      <c r="Q17" s="11">
        <f t="shared" si="3"/>
        <v>13.632876712328768</v>
      </c>
      <c r="R17" s="14">
        <f t="shared" si="5"/>
        <v>0.99091143228883505</v>
      </c>
      <c r="S17" s="15">
        <f t="shared" si="6"/>
        <v>12.729820927843411</v>
      </c>
      <c r="T17">
        <f t="shared" si="7"/>
        <v>0.64097980842314728</v>
      </c>
      <c r="U17" s="12">
        <f t="shared" si="8"/>
        <v>4.2623879175499986E-2</v>
      </c>
      <c r="V17" s="16">
        <f t="shared" si="9"/>
        <v>0.55929059676603043</v>
      </c>
    </row>
    <row r="18" spans="8:22" x14ac:dyDescent="0.25">
      <c r="H18" s="7">
        <f t="shared" si="10"/>
        <v>50724</v>
      </c>
      <c r="I18">
        <f t="shared" si="4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0.25</v>
      </c>
      <c r="Q18" s="11">
        <f t="shared" si="3"/>
        <v>14.632876712328768</v>
      </c>
      <c r="R18" s="14">
        <f t="shared" si="5"/>
        <v>0.99127796145676406</v>
      </c>
      <c r="S18" s="15">
        <f t="shared" si="6"/>
        <v>13.595918256478914</v>
      </c>
      <c r="T18">
        <f t="shared" si="7"/>
        <v>0.62249093262931665</v>
      </c>
      <c r="U18" s="12">
        <f t="shared" si="8"/>
        <v>4.2394601972372083E-2</v>
      </c>
      <c r="V18" s="16">
        <f t="shared" si="9"/>
        <v>0.53775350985425607</v>
      </c>
    </row>
    <row r="19" spans="8:22" x14ac:dyDescent="0.25">
      <c r="H19" s="7">
        <f t="shared" si="10"/>
        <v>51089</v>
      </c>
      <c r="I19">
        <f t="shared" si="4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0.25</v>
      </c>
      <c r="Q19" s="11">
        <f t="shared" si="3"/>
        <v>15.632876712328768</v>
      </c>
      <c r="R19" s="14">
        <f t="shared" si="5"/>
        <v>0.9920109325377866</v>
      </c>
      <c r="S19" s="15">
        <f t="shared" si="6"/>
        <v>14.453250136489359</v>
      </c>
      <c r="T19">
        <f t="shared" si="7"/>
        <v>0.60494010613531457</v>
      </c>
      <c r="U19" s="12">
        <f t="shared" si="8"/>
        <v>4.2151844681215175E-2</v>
      </c>
      <c r="V19" s="16">
        <f t="shared" si="9"/>
        <v>0.51739193800406957</v>
      </c>
    </row>
    <row r="20" spans="8:22" x14ac:dyDescent="0.25">
      <c r="H20" s="7">
        <f t="shared" si="10"/>
        <v>51455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0.25</v>
      </c>
      <c r="Q20" s="11">
        <f t="shared" si="3"/>
        <v>16.635616438356163</v>
      </c>
      <c r="R20" s="14">
        <f t="shared" si="5"/>
        <v>0.99315265284324017</v>
      </c>
      <c r="S20" s="15">
        <f t="shared" si="6"/>
        <v>15.304218524525508</v>
      </c>
      <c r="T20">
        <f t="shared" si="7"/>
        <v>0.58825393625315603</v>
      </c>
      <c r="U20" s="12">
        <f t="shared" si="8"/>
        <v>4.1895214818165452E-2</v>
      </c>
      <c r="V20" s="16">
        <f t="shared" si="9"/>
        <v>0.49810084407368471</v>
      </c>
    </row>
    <row r="21" spans="8:22" x14ac:dyDescent="0.25">
      <c r="H21" s="7">
        <f t="shared" si="10"/>
        <v>51820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0.25</v>
      </c>
      <c r="Q21" s="11">
        <f t="shared" si="3"/>
        <v>17.635616438356163</v>
      </c>
      <c r="R21" s="14">
        <f t="shared" si="5"/>
        <v>0.99473498782786052</v>
      </c>
      <c r="S21" s="15">
        <f t="shared" si="6"/>
        <v>16.144261333503565</v>
      </c>
      <c r="T21">
        <f t="shared" si="7"/>
        <v>0.57249476466540694</v>
      </c>
      <c r="U21" s="12">
        <f t="shared" si="8"/>
        <v>4.1626435641440473E-2</v>
      </c>
      <c r="V21" s="16">
        <f t="shared" si="9"/>
        <v>0.47993343937302252</v>
      </c>
    </row>
    <row r="22" spans="8:22" x14ac:dyDescent="0.25">
      <c r="H22" s="7">
        <f t="shared" si="10"/>
        <v>52185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0.25</v>
      </c>
      <c r="Q22" s="11">
        <f t="shared" si="3"/>
        <v>18.635616438356163</v>
      </c>
      <c r="R22" s="14">
        <f t="shared" si="5"/>
        <v>0.99679810323918838</v>
      </c>
      <c r="S22" s="15">
        <f t="shared" si="6"/>
        <v>16.975802381950217</v>
      </c>
      <c r="T22">
        <f t="shared" si="7"/>
        <v>0.55758742761247726</v>
      </c>
      <c r="U22" s="12">
        <f t="shared" si="8"/>
        <v>4.1345137900087349E-2</v>
      </c>
      <c r="V22" s="16">
        <f t="shared" si="9"/>
        <v>0.46278526105696366</v>
      </c>
    </row>
    <row r="23" spans="8:22" x14ac:dyDescent="0.25">
      <c r="H23" s="7">
        <f t="shared" si="10"/>
        <v>52550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0.25</v>
      </c>
      <c r="Q23" s="11">
        <f t="shared" si="3"/>
        <v>19.635616438356163</v>
      </c>
      <c r="R23" s="14">
        <f t="shared" si="5"/>
        <v>0.99937940848479412</v>
      </c>
      <c r="S23" s="15">
        <f t="shared" si="6"/>
        <v>17.798927713018703</v>
      </c>
      <c r="T23">
        <f t="shared" si="7"/>
        <v>0.54350417572210175</v>
      </c>
      <c r="U23" s="12">
        <f t="shared" si="8"/>
        <v>4.1051629641635258E-2</v>
      </c>
      <c r="V23" s="16">
        <f t="shared" si="9"/>
        <v>0.44660798785340317</v>
      </c>
    </row>
    <row r="24" spans="8:22" x14ac:dyDescent="0.25">
      <c r="H24" s="7">
        <f t="shared" si="10"/>
        <v>52916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0.25</v>
      </c>
      <c r="Q24" s="11">
        <f t="shared" si="3"/>
        <v>20.638356164383563</v>
      </c>
      <c r="R24" s="14">
        <f t="shared" si="5"/>
        <v>1.0025256912599247</v>
      </c>
      <c r="S24" s="15">
        <f t="shared" si="6"/>
        <v>18.615943448071665</v>
      </c>
      <c r="T24">
        <f t="shared" si="7"/>
        <v>0.53018265821194821</v>
      </c>
      <c r="U24" s="12">
        <f t="shared" si="8"/>
        <v>4.0745360174050067E-2</v>
      </c>
      <c r="V24" s="16">
        <f t="shared" si="9"/>
        <v>0.43131471621145856</v>
      </c>
    </row>
    <row r="25" spans="8:22" x14ac:dyDescent="0.25">
      <c r="H25" s="7">
        <f t="shared" si="10"/>
        <v>53281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0.25</v>
      </c>
      <c r="Q25" s="11">
        <f t="shared" si="3"/>
        <v>21.638356164383563</v>
      </c>
      <c r="R25" s="14">
        <f t="shared" si="5"/>
        <v>1.0062574302566902</v>
      </c>
      <c r="S25" s="15">
        <f t="shared" si="6"/>
        <v>19.422469522015554</v>
      </c>
      <c r="T25">
        <f t="shared" si="7"/>
        <v>0.517669435578891</v>
      </c>
      <c r="U25" s="12">
        <f t="shared" si="8"/>
        <v>4.0428300129713213E-2</v>
      </c>
      <c r="V25" s="16">
        <f t="shared" si="9"/>
        <v>0.41694458432241222</v>
      </c>
    </row>
    <row r="26" spans="8:22" x14ac:dyDescent="0.25">
      <c r="H26" s="7">
        <f t="shared" si="10"/>
        <v>53646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0.25</v>
      </c>
      <c r="Q26" s="11">
        <f t="shared" si="3"/>
        <v>22.638356164383563</v>
      </c>
      <c r="R26" s="14">
        <f t="shared" si="5"/>
        <v>1.0106204291946284</v>
      </c>
      <c r="S26" s="15">
        <f t="shared" si="6"/>
        <v>20.22083304582543</v>
      </c>
      <c r="T26">
        <f t="shared" si="7"/>
        <v>0.50590180030446796</v>
      </c>
      <c r="U26" s="12">
        <f t="shared" si="8"/>
        <v>4.0099919540332082E-2</v>
      </c>
      <c r="V26" s="16">
        <f t="shared" si="9"/>
        <v>0.40341226061959412</v>
      </c>
    </row>
    <row r="27" spans="8:22" x14ac:dyDescent="0.25">
      <c r="H27" s="7">
        <f t="shared" si="10"/>
        <v>54011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0.25</v>
      </c>
      <c r="Q27" s="11">
        <f t="shared" si="3"/>
        <v>23.638356164383563</v>
      </c>
      <c r="R27" s="14">
        <f t="shared" si="5"/>
        <v>1.0156532903568081</v>
      </c>
      <c r="S27" s="15">
        <f t="shared" si="6"/>
        <v>21.011116629632369</v>
      </c>
      <c r="T27">
        <f t="shared" si="7"/>
        <v>0.49485554815339439</v>
      </c>
      <c r="U27" s="12">
        <f t="shared" si="8"/>
        <v>3.9760503480950352E-2</v>
      </c>
      <c r="V27" s="16">
        <f t="shared" si="9"/>
        <v>0.3906774706852903</v>
      </c>
    </row>
    <row r="28" spans="8:22" x14ac:dyDescent="0.25">
      <c r="H28" s="7">
        <f t="shared" si="10"/>
        <v>54377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0.25</v>
      </c>
      <c r="Q28" s="11">
        <f t="shared" si="3"/>
        <v>24.641095890410959</v>
      </c>
      <c r="R28" s="14">
        <f t="shared" si="5"/>
        <v>1.0214122007247666</v>
      </c>
      <c r="S28" s="15">
        <f t="shared" si="6"/>
        <v>21.795534383227888</v>
      </c>
      <c r="T28">
        <f t="shared" si="7"/>
        <v>0.48448015808796452</v>
      </c>
      <c r="U28" s="12">
        <f t="shared" si="8"/>
        <v>3.9409357647552941E-2</v>
      </c>
      <c r="V28" s="16">
        <f t="shared" si="9"/>
        <v>0.37867015329251641</v>
      </c>
    </row>
    <row r="29" spans="8:22" x14ac:dyDescent="0.25">
      <c r="H29" s="7">
        <f t="shared" si="10"/>
        <v>54742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0.25</v>
      </c>
      <c r="Q29" s="11">
        <f t="shared" si="3"/>
        <v>25.641095890410959</v>
      </c>
      <c r="R29" s="14">
        <f t="shared" si="5"/>
        <v>1.0279063037350638</v>
      </c>
      <c r="S29" s="15">
        <f t="shared" si="6"/>
        <v>22.569881001042159</v>
      </c>
      <c r="T29">
        <f t="shared" si="7"/>
        <v>0.47481032091690678</v>
      </c>
      <c r="U29" s="12">
        <f t="shared" si="8"/>
        <v>3.9048675698869738E-2</v>
      </c>
      <c r="V29" s="16">
        <f t="shared" si="9"/>
        <v>0.36741957126265318</v>
      </c>
    </row>
    <row r="30" spans="8:22" x14ac:dyDescent="0.25">
      <c r="H30" s="7">
        <f t="shared" si="10"/>
        <v>55107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>
        <f t="shared" si="4"/>
        <v>0</v>
      </c>
      <c r="O30">
        <f t="shared" si="4"/>
        <v>0.25</v>
      </c>
      <c r="Q30" s="11">
        <f t="shared" si="3"/>
        <v>26.641095890410959</v>
      </c>
      <c r="R30" s="14">
        <f t="shared" si="5"/>
        <v>1.0351921840021259</v>
      </c>
      <c r="S30" s="15">
        <f t="shared" si="6"/>
        <v>23.336390745017844</v>
      </c>
      <c r="T30">
        <f t="shared" si="7"/>
        <v>0.46579598871202993</v>
      </c>
      <c r="U30" s="12">
        <f t="shared" si="8"/>
        <v>3.867778173697569E-2</v>
      </c>
      <c r="V30" s="16">
        <f t="shared" si="9"/>
        <v>0.35685758724047567</v>
      </c>
    </row>
    <row r="31" spans="8:22" x14ac:dyDescent="0.25">
      <c r="H31" s="7">
        <f t="shared" si="10"/>
        <v>55472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0.25</v>
      </c>
      <c r="Q31" s="11">
        <f t="shared" si="3"/>
        <v>27.641095890410959</v>
      </c>
      <c r="R31" s="14">
        <f t="shared" si="5"/>
        <v>1.0433132521437962</v>
      </c>
      <c r="S31" s="15">
        <f t="shared" si="6"/>
        <v>24.095142929237507</v>
      </c>
      <c r="T31">
        <f t="shared" si="7"/>
        <v>0.45741764672455604</v>
      </c>
      <c r="U31" s="12">
        <f t="shared" si="8"/>
        <v>3.8296939482076582E-2</v>
      </c>
      <c r="V31" s="16">
        <f t="shared" si="9"/>
        <v>0.34695181285430354</v>
      </c>
    </row>
    <row r="32" spans="8:22" x14ac:dyDescent="0.25">
      <c r="H32" s="7">
        <f t="shared" si="10"/>
        <v>55838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100.25</v>
      </c>
      <c r="Q32" s="11">
        <f t="shared" si="3"/>
        <v>28.643835616438356</v>
      </c>
      <c r="R32" s="14">
        <f t="shared" si="5"/>
        <v>1.0523406676559441</v>
      </c>
      <c r="S32" s="15">
        <f t="shared" si="6"/>
        <v>24.84826332307664</v>
      </c>
      <c r="T32">
        <f t="shared" si="7"/>
        <v>0.44963662217050937</v>
      </c>
      <c r="U32" s="12">
        <f t="shared" si="8"/>
        <v>3.790532453187364E-2</v>
      </c>
      <c r="V32" s="16">
        <f t="shared" si="9"/>
        <v>0.33764714284566133</v>
      </c>
    </row>
    <row r="33" spans="4:22" x14ac:dyDescent="0.25">
      <c r="H33" s="7">
        <f t="shared" si="10"/>
        <v>56203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0</v>
      </c>
      <c r="Q33" s="11">
        <f t="shared" si="3"/>
        <v>29.643835616438356</v>
      </c>
      <c r="R33" s="14">
        <f t="shared" si="5"/>
        <v>1.0622725692833395</v>
      </c>
      <c r="S33" s="15">
        <f t="shared" si="6"/>
        <v>25.591714407786512</v>
      </c>
      <c r="T33">
        <f t="shared" si="7"/>
        <v>0.44247845177031431</v>
      </c>
      <c r="U33" s="12">
        <f t="shared" si="8"/>
        <v>3.7505331052098675E-2</v>
      </c>
      <c r="V33" s="16">
        <f t="shared" si="9"/>
        <v>0.32896567385458475</v>
      </c>
    </row>
    <row r="35" spans="4:22" x14ac:dyDescent="0.25">
      <c r="H35" t="s">
        <v>55</v>
      </c>
      <c r="I35" cm="1">
        <f t="array" ref="I35:O35">TRANSPOSE(C4:C10)</f>
        <v>96.38</v>
      </c>
      <c r="J35">
        <v>97.13</v>
      </c>
      <c r="K35">
        <v>99.35</v>
      </c>
      <c r="L35">
        <v>90.54</v>
      </c>
      <c r="M35">
        <v>86</v>
      </c>
      <c r="N35">
        <v>92.4</v>
      </c>
      <c r="O35">
        <v>46.4</v>
      </c>
    </row>
    <row r="36" spans="4:22" x14ac:dyDescent="0.25">
      <c r="H36" t="s">
        <v>56</v>
      </c>
      <c r="I36">
        <f>SUMPRODUCT(I4:I33,$V$4:$V$33)</f>
        <v>97.275729195344624</v>
      </c>
      <c r="J36">
        <f t="shared" ref="J36:O36" si="11">SUMPRODUCT(J4:J33,$V$4:$V$33)</f>
        <v>96.402436683038587</v>
      </c>
      <c r="K36">
        <f t="shared" si="11"/>
        <v>95.343351912048803</v>
      </c>
      <c r="L36">
        <f t="shared" si="11"/>
        <v>87.050760226169615</v>
      </c>
      <c r="M36">
        <f t="shared" si="11"/>
        <v>80.718132732510725</v>
      </c>
      <c r="N36">
        <f t="shared" si="11"/>
        <v>83.95792653281994</v>
      </c>
      <c r="O36">
        <f t="shared" si="11"/>
        <v>37.965744700108765</v>
      </c>
    </row>
    <row r="37" spans="4:22" x14ac:dyDescent="0.25">
      <c r="H37" t="s">
        <v>57</v>
      </c>
      <c r="I37">
        <f>(I35-I36)^2</f>
        <v>0.802330791392736</v>
      </c>
      <c r="J37">
        <f t="shared" ref="J37:O37" si="12">(J35-J36)^2</f>
        <v>0.52934838018788655</v>
      </c>
      <c r="K37">
        <f t="shared" si="12"/>
        <v>16.053228900682939</v>
      </c>
      <c r="L37">
        <f t="shared" si="12"/>
        <v>12.17479419927996</v>
      </c>
      <c r="M37">
        <f t="shared" si="12"/>
        <v>27.898121831374624</v>
      </c>
      <c r="N37">
        <f t="shared" si="12"/>
        <v>71.268604425265664</v>
      </c>
      <c r="O37">
        <f t="shared" si="12"/>
        <v>71.136662463743363</v>
      </c>
    </row>
    <row r="39" spans="4:22" x14ac:dyDescent="0.25">
      <c r="H39" t="s">
        <v>74</v>
      </c>
      <c r="I39">
        <f>SUM(I37:O37)</f>
        <v>199.86309099192718</v>
      </c>
      <c r="U39" s="1">
        <f>AVERAGE(U4:U33)</f>
        <v>4.1772606470331534E-2</v>
      </c>
    </row>
    <row r="43" spans="4:22" x14ac:dyDescent="0.25">
      <c r="D43" s="7"/>
      <c r="K43" s="3"/>
    </row>
    <row r="44" spans="4:22" x14ac:dyDescent="0.25">
      <c r="D44" s="7"/>
      <c r="K44" s="3"/>
    </row>
    <row r="45" spans="4:22" x14ac:dyDescent="0.25">
      <c r="D45" s="7"/>
      <c r="K45" s="3"/>
    </row>
    <row r="46" spans="4:22" x14ac:dyDescent="0.25">
      <c r="D46" s="7"/>
      <c r="K46" s="3"/>
    </row>
    <row r="47" spans="4:22" x14ac:dyDescent="0.25">
      <c r="D47" s="7"/>
      <c r="K47" s="3"/>
    </row>
    <row r="48" spans="4:22" x14ac:dyDescent="0.25">
      <c r="D48" s="7"/>
      <c r="K48" s="3"/>
    </row>
    <row r="49" spans="4:11" x14ac:dyDescent="0.25">
      <c r="D49" s="7"/>
      <c r="K49" s="3"/>
    </row>
  </sheetData>
  <autoFilter ref="A3:F10" xr:uid="{3123E469-286C-43A5-8CF5-131E56FEC6E0}">
    <sortState xmlns:xlrd2="http://schemas.microsoft.com/office/spreadsheetml/2017/richdata2" ref="A4:F10">
      <sortCondition ref="D3:D1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E9EA-1F9B-42C3-9A8B-B41196445A3A}">
  <dimension ref="A1:X49"/>
  <sheetViews>
    <sheetView topLeftCell="B1" workbookViewId="0">
      <selection activeCell="I36" sqref="I36:O36"/>
    </sheetView>
  </sheetViews>
  <sheetFormatPr defaultRowHeight="15" x14ac:dyDescent="0.25"/>
  <cols>
    <col min="1" max="1" width="13.5703125" bestFit="1" customWidth="1"/>
    <col min="2" max="2" width="11.5703125" bestFit="1" customWidth="1"/>
    <col min="4" max="4" width="10.42578125" bestFit="1" customWidth="1"/>
    <col min="6" max="6" width="19.42578125" bestFit="1" customWidth="1"/>
    <col min="8" max="8" width="10.42578125" bestFit="1" customWidth="1"/>
    <col min="9" max="15" width="13.5703125" bestFit="1" customWidth="1"/>
    <col min="24" max="24" width="10.140625" bestFit="1" customWidth="1"/>
  </cols>
  <sheetData>
    <row r="1" spans="1:24" x14ac:dyDescent="0.25">
      <c r="A1" t="s">
        <v>27</v>
      </c>
      <c r="B1" s="7">
        <v>45383</v>
      </c>
      <c r="H1" t="s">
        <v>28</v>
      </c>
      <c r="I1" s="8" cm="1">
        <f t="array" ref="I1:O1">TRANSPOSE(B4:B10)</f>
        <v>0</v>
      </c>
      <c r="J1" s="8">
        <v>1.7500000000000002E-2</v>
      </c>
      <c r="K1" s="8">
        <v>2.2499999999999999E-2</v>
      </c>
      <c r="L1" s="8">
        <v>5.0000000000000001E-3</v>
      </c>
      <c r="M1" s="8">
        <v>5.0000000000000001E-3</v>
      </c>
      <c r="N1" s="8">
        <v>2.2499999999999999E-2</v>
      </c>
      <c r="O1" s="8">
        <v>2.5000000000000001E-3</v>
      </c>
      <c r="U1">
        <v>0.01</v>
      </c>
      <c r="X1" t="s">
        <v>72</v>
      </c>
    </row>
    <row r="2" spans="1:24" x14ac:dyDescent="0.25">
      <c r="H2" t="s">
        <v>25</v>
      </c>
      <c r="I2" s="7" cm="1">
        <f t="array" ref="I2:O2">TRANSPOSE(D4:D10)</f>
        <v>45611</v>
      </c>
      <c r="J2" s="7">
        <v>45976</v>
      </c>
      <c r="K2" s="7">
        <v>46341</v>
      </c>
      <c r="L2" s="7">
        <v>46706</v>
      </c>
      <c r="M2" s="7">
        <v>47437</v>
      </c>
      <c r="N2" s="7">
        <v>48898</v>
      </c>
      <c r="O2" s="7">
        <v>55838</v>
      </c>
      <c r="Q2" t="s">
        <v>31</v>
      </c>
      <c r="W2" t="s">
        <v>64</v>
      </c>
      <c r="X2" s="13">
        <v>1.0172189450599899E-2</v>
      </c>
    </row>
    <row r="3" spans="1:24" x14ac:dyDescent="0.25">
      <c r="A3" t="s">
        <v>33</v>
      </c>
      <c r="B3" t="s">
        <v>26</v>
      </c>
      <c r="C3" s="10" t="s">
        <v>34</v>
      </c>
      <c r="D3" t="s">
        <v>35</v>
      </c>
      <c r="E3" t="s">
        <v>36</v>
      </c>
      <c r="F3" t="s">
        <v>37</v>
      </c>
      <c r="H3" t="s">
        <v>38</v>
      </c>
      <c r="I3" t="str" cm="1">
        <f t="array" ref="I3:O3">TRANSPOSE(A4:A10)</f>
        <v>DK0009924292</v>
      </c>
      <c r="J3" t="str">
        <v>DK0009923138</v>
      </c>
      <c r="K3" t="str">
        <v>DK0009924888</v>
      </c>
      <c r="L3" t="str">
        <v>DK0009923567</v>
      </c>
      <c r="M3" t="str">
        <v>DK0009923807</v>
      </c>
      <c r="N3" t="str">
        <v>DK0009924532</v>
      </c>
      <c r="O3" t="str">
        <v>DK0009924029</v>
      </c>
      <c r="Q3" t="s">
        <v>6</v>
      </c>
      <c r="R3" t="s">
        <v>70</v>
      </c>
      <c r="S3" t="s">
        <v>71</v>
      </c>
      <c r="T3" t="s">
        <v>40</v>
      </c>
      <c r="U3" t="s">
        <v>39</v>
      </c>
      <c r="V3" t="s">
        <v>40</v>
      </c>
      <c r="W3" t="s">
        <v>65</v>
      </c>
      <c r="X3" s="13">
        <v>3.4221073094520403E-2</v>
      </c>
    </row>
    <row r="4" spans="1:24" x14ac:dyDescent="0.25">
      <c r="A4" t="s">
        <v>42</v>
      </c>
      <c r="B4" s="12">
        <v>0</v>
      </c>
      <c r="C4" s="4">
        <v>96.38</v>
      </c>
      <c r="D4" s="7">
        <v>45611</v>
      </c>
      <c r="E4" s="6">
        <f t="shared" ref="E4:E10" si="0">(1-($H$4-$B$1)/365)*B4*100</f>
        <v>0</v>
      </c>
      <c r="F4" s="6">
        <f t="shared" ref="F4:F10" si="1">C4+E4</f>
        <v>96.38</v>
      </c>
      <c r="H4" s="7">
        <v>45611</v>
      </c>
      <c r="I4">
        <f>IF($H4&gt;I$2,0,IF($H4=I$2,1+I$1,I$1)*100)</f>
        <v>100</v>
      </c>
      <c r="J4">
        <f t="shared" ref="J4:O19" si="2">IF($H4&gt;J$2,0,IF($H4=J$2,1+J$1,J$1)*100)</f>
        <v>1.7500000000000002</v>
      </c>
      <c r="K4">
        <f t="shared" si="2"/>
        <v>2.25</v>
      </c>
      <c r="L4">
        <f t="shared" si="2"/>
        <v>0.5</v>
      </c>
      <c r="M4">
        <f t="shared" si="2"/>
        <v>0.5</v>
      </c>
      <c r="N4">
        <f t="shared" si="2"/>
        <v>2.25</v>
      </c>
      <c r="O4">
        <f t="shared" si="2"/>
        <v>0.25</v>
      </c>
      <c r="Q4" s="11">
        <f t="shared" ref="Q4:Q33" si="3">(H4-$B$1)/365</f>
        <v>0.62465753424657533</v>
      </c>
      <c r="R4" s="14">
        <f>((2*$X$6*EXP(($X$2+$X$6)*Q4/2))/(2*$X$6+($X$2+$X$6)*(EXP($X$6*Q4)-1)))^((2*$X$2*$X$3)/$X$4^2)</f>
        <v>0.99993223501890538</v>
      </c>
      <c r="S4" s="15">
        <f>(2*(EXP($X$6*Q4)-1))/(2*$X$6+($X$2+$X$6)*(EXP($X$6*Q4)-1))</f>
        <v>0.62261228301210714</v>
      </c>
      <c r="T4">
        <f>R4*EXP(-S4*$X$5)</f>
        <v>0.97885262679192309</v>
      </c>
      <c r="U4" s="12">
        <f>-1/Q4*LN(T4)+$U$1</f>
        <v>4.4217440825367244E-2</v>
      </c>
      <c r="V4" s="16">
        <f>EXP(-U4*Q4)</f>
        <v>0.97275720767697715</v>
      </c>
      <c r="W4" t="s">
        <v>66</v>
      </c>
      <c r="X4" s="13">
        <v>4.0090129833828703E-2</v>
      </c>
    </row>
    <row r="5" spans="1:24" x14ac:dyDescent="0.25">
      <c r="A5" t="s">
        <v>44</v>
      </c>
      <c r="B5" s="12">
        <v>1.7500000000000002E-2</v>
      </c>
      <c r="C5" s="4">
        <v>97.13</v>
      </c>
      <c r="D5" s="7">
        <v>45976</v>
      </c>
      <c r="E5" s="6">
        <f t="shared" si="0"/>
        <v>0.6568493150684932</v>
      </c>
      <c r="F5" s="6">
        <f t="shared" si="1"/>
        <v>97.786849315068494</v>
      </c>
      <c r="H5" s="7">
        <f>DATE(YEAR(H4)+1,MONTH(H4),DAY(H4))</f>
        <v>45976</v>
      </c>
      <c r="I5">
        <f t="shared" ref="I5:O33" si="4">IF($H5&gt;I$2,0,IF($H5=I$2,1+I$1,I$1)*100)</f>
        <v>0</v>
      </c>
      <c r="J5">
        <f t="shared" si="2"/>
        <v>101.75</v>
      </c>
      <c r="K5">
        <f t="shared" si="2"/>
        <v>2.25</v>
      </c>
      <c r="L5">
        <f t="shared" si="2"/>
        <v>0.5</v>
      </c>
      <c r="M5">
        <f t="shared" si="2"/>
        <v>0.5</v>
      </c>
      <c r="N5">
        <f t="shared" si="2"/>
        <v>2.25</v>
      </c>
      <c r="O5">
        <f t="shared" si="2"/>
        <v>0.25</v>
      </c>
      <c r="Q5" s="11">
        <f t="shared" si="3"/>
        <v>1.6246575342465754</v>
      </c>
      <c r="R5" s="14">
        <f t="shared" ref="R5:R33" si="5">((2*$X$6*EXP(($X$2+$X$6)*Q5/2))/(2*$X$6+($X$2+$X$6)*(EXP($X$6*Q5)-1)))^((2*$X$2*$X$3)/$X$4^2)</f>
        <v>0.99954337349292277</v>
      </c>
      <c r="S5" s="15">
        <f t="shared" ref="S5:S33" si="6">(2*(EXP($X$6*Q5)-1))/(2*$X$6+($X$2+$X$6)*(EXP($X$6*Q5)-1))</f>
        <v>1.6101774323868214</v>
      </c>
      <c r="T5">
        <f t="shared" ref="T5:T33" si="7">R5*EXP(-S5*$X$5)</f>
        <v>0.94595657697038005</v>
      </c>
      <c r="U5" s="12">
        <f t="shared" ref="U5:U33" si="8">-1/Q5*LN(T5)+$U$1</f>
        <v>4.4197122492145829E-2</v>
      </c>
      <c r="V5" s="16">
        <f t="shared" ref="V5:V33" si="9">EXP(-U5*Q5)</f>
        <v>0.93071219200935251</v>
      </c>
      <c r="W5" t="s">
        <v>69</v>
      </c>
      <c r="X5" s="13">
        <v>3.4221000000000001E-2</v>
      </c>
    </row>
    <row r="6" spans="1:24" x14ac:dyDescent="0.25">
      <c r="A6" t="s">
        <v>46</v>
      </c>
      <c r="B6" s="12">
        <v>2.2499999999999999E-2</v>
      </c>
      <c r="C6" s="4">
        <v>99.35</v>
      </c>
      <c r="D6" s="7">
        <v>46341</v>
      </c>
      <c r="E6" s="6">
        <f t="shared" si="0"/>
        <v>0.84452054794520548</v>
      </c>
      <c r="F6" s="6">
        <f t="shared" si="1"/>
        <v>100.1945205479452</v>
      </c>
      <c r="H6" s="7">
        <f t="shared" ref="H6:H33" si="10">DATE(YEAR(H5)+1,MONTH(H5),DAY(H5))</f>
        <v>46341</v>
      </c>
      <c r="I6">
        <f t="shared" si="4"/>
        <v>0</v>
      </c>
      <c r="J6">
        <f t="shared" si="2"/>
        <v>0</v>
      </c>
      <c r="K6">
        <f t="shared" si="2"/>
        <v>102.25</v>
      </c>
      <c r="L6">
        <f t="shared" si="2"/>
        <v>0.5</v>
      </c>
      <c r="M6">
        <f t="shared" si="2"/>
        <v>0.5</v>
      </c>
      <c r="N6">
        <f t="shared" si="2"/>
        <v>2.25</v>
      </c>
      <c r="O6">
        <f t="shared" si="2"/>
        <v>0.25</v>
      </c>
      <c r="Q6" s="11">
        <f t="shared" si="3"/>
        <v>2.6246575342465754</v>
      </c>
      <c r="R6" s="14">
        <f t="shared" si="5"/>
        <v>0.99881337419029403</v>
      </c>
      <c r="S6" s="15">
        <f t="shared" si="6"/>
        <v>2.5852244822780195</v>
      </c>
      <c r="T6">
        <f t="shared" si="7"/>
        <v>0.91424535976977106</v>
      </c>
      <c r="U6" s="12">
        <f t="shared" si="8"/>
        <v>4.4159236489241895E-2</v>
      </c>
      <c r="V6" s="16">
        <f t="shared" si="9"/>
        <v>0.89056171690029751</v>
      </c>
      <c r="W6" t="s">
        <v>73</v>
      </c>
      <c r="X6">
        <f>SQRT(X2^2+2*X4^2)</f>
        <v>5.7601306047739755E-2</v>
      </c>
    </row>
    <row r="7" spans="1:24" x14ac:dyDescent="0.25">
      <c r="A7" t="s">
        <v>48</v>
      </c>
      <c r="B7" s="12">
        <v>5.0000000000000001E-3</v>
      </c>
      <c r="C7" s="4">
        <v>90.54</v>
      </c>
      <c r="D7" s="7">
        <v>46706</v>
      </c>
      <c r="E7" s="6">
        <f t="shared" si="0"/>
        <v>0.18767123287671234</v>
      </c>
      <c r="F7" s="6">
        <f t="shared" si="1"/>
        <v>90.727671232876716</v>
      </c>
      <c r="H7" s="7">
        <f t="shared" si="10"/>
        <v>46706</v>
      </c>
      <c r="I7">
        <f t="shared" si="4"/>
        <v>0</v>
      </c>
      <c r="J7">
        <f t="shared" si="2"/>
        <v>0</v>
      </c>
      <c r="K7">
        <f t="shared" si="2"/>
        <v>0</v>
      </c>
      <c r="L7">
        <f t="shared" si="2"/>
        <v>100.49999999999999</v>
      </c>
      <c r="M7">
        <f t="shared" si="2"/>
        <v>0.5</v>
      </c>
      <c r="N7">
        <f t="shared" si="2"/>
        <v>2.25</v>
      </c>
      <c r="O7">
        <f t="shared" si="2"/>
        <v>0.25</v>
      </c>
      <c r="Q7" s="11">
        <f t="shared" si="3"/>
        <v>3.6246575342465754</v>
      </c>
      <c r="R7" s="14">
        <f t="shared" si="5"/>
        <v>0.99774756903354456</v>
      </c>
      <c r="S7" s="15">
        <f t="shared" si="6"/>
        <v>3.5464049964038056</v>
      </c>
      <c r="T7">
        <f t="shared" si="7"/>
        <v>0.88371868477168058</v>
      </c>
      <c r="U7" s="12">
        <f t="shared" si="8"/>
        <v>4.4104324537892106E-2</v>
      </c>
      <c r="V7" s="16">
        <f t="shared" si="9"/>
        <v>0.85226047910457592</v>
      </c>
    </row>
    <row r="8" spans="1:24" x14ac:dyDescent="0.25">
      <c r="A8" t="s">
        <v>50</v>
      </c>
      <c r="B8" s="12">
        <v>5.0000000000000001E-3</v>
      </c>
      <c r="C8" s="4">
        <v>86</v>
      </c>
      <c r="D8" s="7">
        <v>47437</v>
      </c>
      <c r="E8" s="6">
        <f t="shared" si="0"/>
        <v>0.18767123287671234</v>
      </c>
      <c r="F8" s="6">
        <f t="shared" si="1"/>
        <v>86.18767123287671</v>
      </c>
      <c r="H8" s="7">
        <f t="shared" si="10"/>
        <v>47072</v>
      </c>
      <c r="I8">
        <f t="shared" si="4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0.5</v>
      </c>
      <c r="N8">
        <f t="shared" si="2"/>
        <v>2.25</v>
      </c>
      <c r="O8">
        <f t="shared" si="2"/>
        <v>0.25</v>
      </c>
      <c r="Q8" s="11">
        <f t="shared" si="3"/>
        <v>4.6273972602739724</v>
      </c>
      <c r="R8" s="14">
        <f t="shared" si="5"/>
        <v>0.99634779546509111</v>
      </c>
      <c r="S8" s="15">
        <f t="shared" si="6"/>
        <v>4.4950239161896661</v>
      </c>
      <c r="T8">
        <f t="shared" si="7"/>
        <v>0.85429124797345046</v>
      </c>
      <c r="U8" s="12">
        <f t="shared" si="8"/>
        <v>4.4032760684898066E-2</v>
      </c>
      <c r="V8" s="16">
        <f t="shared" si="9"/>
        <v>0.81566049050444644</v>
      </c>
    </row>
    <row r="9" spans="1:24" x14ac:dyDescent="0.25">
      <c r="A9" t="s">
        <v>52</v>
      </c>
      <c r="B9" s="12">
        <v>2.2499999999999999E-2</v>
      </c>
      <c r="C9" s="4">
        <v>92.4</v>
      </c>
      <c r="D9" s="7">
        <v>48898</v>
      </c>
      <c r="E9" s="6">
        <f t="shared" si="0"/>
        <v>0.84452054794520548</v>
      </c>
      <c r="F9" s="6">
        <f t="shared" si="1"/>
        <v>93.244520547945214</v>
      </c>
      <c r="H9" s="7">
        <f t="shared" si="10"/>
        <v>47437</v>
      </c>
      <c r="I9">
        <f t="shared" si="4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100.49999999999999</v>
      </c>
      <c r="N9">
        <f t="shared" si="2"/>
        <v>2.25</v>
      </c>
      <c r="O9">
        <f t="shared" si="2"/>
        <v>0.25</v>
      </c>
      <c r="Q9" s="11">
        <f t="shared" si="3"/>
        <v>5.6273972602739724</v>
      </c>
      <c r="R9" s="14">
        <f t="shared" si="5"/>
        <v>0.99462855134344619</v>
      </c>
      <c r="S9" s="15">
        <f t="shared" si="6"/>
        <v>5.4247187247357447</v>
      </c>
      <c r="T9">
        <f t="shared" si="7"/>
        <v>0.82611174819930611</v>
      </c>
      <c r="U9" s="12">
        <f t="shared" si="8"/>
        <v>4.3945573308542658E-2</v>
      </c>
      <c r="V9" s="16">
        <f t="shared" si="9"/>
        <v>0.78090701210417035</v>
      </c>
    </row>
    <row r="10" spans="1:24" x14ac:dyDescent="0.25">
      <c r="A10" t="s">
        <v>54</v>
      </c>
      <c r="B10" s="12">
        <v>2.5000000000000001E-3</v>
      </c>
      <c r="C10" s="4">
        <v>46.4</v>
      </c>
      <c r="D10" s="7">
        <v>55838</v>
      </c>
      <c r="E10" s="6">
        <f t="shared" si="0"/>
        <v>9.3835616438356168E-2</v>
      </c>
      <c r="F10" s="6">
        <f t="shared" si="1"/>
        <v>46.493835616438353</v>
      </c>
      <c r="H10" s="7">
        <f t="shared" si="10"/>
        <v>47802</v>
      </c>
      <c r="I10">
        <f t="shared" si="4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2.25</v>
      </c>
      <c r="O10">
        <f t="shared" si="2"/>
        <v>0.25</v>
      </c>
      <c r="Q10" s="11">
        <f t="shared" si="3"/>
        <v>6.6273972602739724</v>
      </c>
      <c r="R10" s="14">
        <f t="shared" si="5"/>
        <v>0.99259396504611763</v>
      </c>
      <c r="S10" s="15">
        <f t="shared" si="6"/>
        <v>6.3370198636428112</v>
      </c>
      <c r="T10">
        <f t="shared" si="7"/>
        <v>0.7990811670772705</v>
      </c>
      <c r="U10" s="12">
        <f t="shared" si="8"/>
        <v>4.3843263612842027E-2</v>
      </c>
      <c r="V10" s="16">
        <f t="shared" si="9"/>
        <v>0.74783962793654934</v>
      </c>
    </row>
    <row r="11" spans="1:24" x14ac:dyDescent="0.25">
      <c r="B11" s="8"/>
      <c r="C11" s="4"/>
      <c r="D11" s="7"/>
      <c r="H11" s="7">
        <f t="shared" si="10"/>
        <v>48167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2.25</v>
      </c>
      <c r="O11">
        <f t="shared" si="2"/>
        <v>0.25</v>
      </c>
      <c r="Q11" s="11">
        <f t="shared" si="3"/>
        <v>7.6273972602739724</v>
      </c>
      <c r="R11" s="14">
        <f t="shared" si="5"/>
        <v>0.99025215331000727</v>
      </c>
      <c r="S11" s="15">
        <f t="shared" si="6"/>
        <v>7.2309412985716559</v>
      </c>
      <c r="T11">
        <f t="shared" si="7"/>
        <v>0.7731782126896547</v>
      </c>
      <c r="U11" s="12">
        <f t="shared" si="8"/>
        <v>4.3726538866570248E-2</v>
      </c>
      <c r="V11" s="16">
        <f t="shared" si="9"/>
        <v>0.7163977978209044</v>
      </c>
    </row>
    <row r="12" spans="1:24" x14ac:dyDescent="0.25">
      <c r="B12" s="8"/>
      <c r="C12" s="4"/>
      <c r="D12" s="7"/>
      <c r="H12" s="7">
        <f t="shared" si="10"/>
        <v>48533</v>
      </c>
      <c r="I12">
        <f t="shared" si="4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2.25</v>
      </c>
      <c r="O12">
        <f t="shared" si="2"/>
        <v>0.25</v>
      </c>
      <c r="Q12" s="11">
        <f t="shared" si="3"/>
        <v>8.6301369863013697</v>
      </c>
      <c r="R12" s="14">
        <f t="shared" si="5"/>
        <v>0.98760414994875101</v>
      </c>
      <c r="S12" s="15">
        <f t="shared" si="6"/>
        <v>8.1079650863313066</v>
      </c>
      <c r="T12">
        <f t="shared" si="7"/>
        <v>0.74831146345321908</v>
      </c>
      <c r="U12" s="12">
        <f t="shared" si="8"/>
        <v>4.3595757882554743E-2</v>
      </c>
      <c r="V12" s="16">
        <f t="shared" si="9"/>
        <v>0.68643937870340943</v>
      </c>
    </row>
    <row r="13" spans="1:24" x14ac:dyDescent="0.25">
      <c r="H13" s="7">
        <f t="shared" si="10"/>
        <v>48898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102.25</v>
      </c>
      <c r="O13">
        <f t="shared" si="2"/>
        <v>0.25</v>
      </c>
      <c r="Q13" s="11">
        <f t="shared" si="3"/>
        <v>9.6301369863013697</v>
      </c>
      <c r="R13" s="14">
        <f t="shared" si="5"/>
        <v>0.98467360754732236</v>
      </c>
      <c r="S13" s="15">
        <f t="shared" si="6"/>
        <v>8.9625103161917803</v>
      </c>
      <c r="T13">
        <f t="shared" si="7"/>
        <v>0.72458868138119259</v>
      </c>
      <c r="U13" s="12">
        <f t="shared" si="8"/>
        <v>4.3452392381088042E-2</v>
      </c>
      <c r="V13" s="16">
        <f t="shared" si="9"/>
        <v>0.65806439282261242</v>
      </c>
    </row>
    <row r="14" spans="1:24" x14ac:dyDescent="0.25">
      <c r="H14" s="7">
        <f t="shared" si="10"/>
        <v>49263</v>
      </c>
      <c r="I14">
        <f t="shared" si="4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0.25</v>
      </c>
      <c r="Q14" s="11">
        <f t="shared" si="3"/>
        <v>10.63013698630137</v>
      </c>
      <c r="R14" s="14">
        <f t="shared" si="5"/>
        <v>0.98146328784957659</v>
      </c>
      <c r="S14" s="15">
        <f t="shared" si="6"/>
        <v>9.7963140866930942</v>
      </c>
      <c r="T14">
        <f t="shared" si="7"/>
        <v>0.7019098272254678</v>
      </c>
      <c r="U14" s="12">
        <f t="shared" si="8"/>
        <v>4.3296874246191532E-2</v>
      </c>
      <c r="V14" s="16">
        <f t="shared" si="9"/>
        <v>0.63112476868476342</v>
      </c>
    </row>
    <row r="15" spans="1:24" x14ac:dyDescent="0.25">
      <c r="H15" s="7">
        <f t="shared" si="10"/>
        <v>49628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0.25</v>
      </c>
      <c r="Q15" s="11">
        <f t="shared" si="3"/>
        <v>11.63013698630137</v>
      </c>
      <c r="R15" s="14">
        <f t="shared" si="5"/>
        <v>0.97798315028399319</v>
      </c>
      <c r="S15" s="15">
        <f t="shared" si="6"/>
        <v>10.608790427341175</v>
      </c>
      <c r="T15">
        <f t="shared" si="7"/>
        <v>0.68024227666256964</v>
      </c>
      <c r="U15" s="12">
        <f t="shared" si="8"/>
        <v>4.3129984239402105E-2</v>
      </c>
      <c r="V15" s="16">
        <f t="shared" si="9"/>
        <v>0.60555636926520406</v>
      </c>
    </row>
    <row r="16" spans="1:24" x14ac:dyDescent="0.25">
      <c r="H16" s="7">
        <f t="shared" si="10"/>
        <v>49994</v>
      </c>
      <c r="I16">
        <f t="shared" si="4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0.25</v>
      </c>
      <c r="Q16" s="11">
        <f t="shared" si="3"/>
        <v>12.632876712328768</v>
      </c>
      <c r="R16" s="14">
        <f t="shared" si="5"/>
        <v>0.97423286791902575</v>
      </c>
      <c r="S16" s="15">
        <f t="shared" si="6"/>
        <v>11.401587673031189</v>
      </c>
      <c r="T16">
        <f t="shared" si="7"/>
        <v>0.65949647515081189</v>
      </c>
      <c r="U16" s="12">
        <f t="shared" si="8"/>
        <v>4.2952007768936658E-2</v>
      </c>
      <c r="V16" s="16">
        <f t="shared" si="9"/>
        <v>0.5812307629129706</v>
      </c>
    </row>
    <row r="17" spans="8:22" x14ac:dyDescent="0.25">
      <c r="H17" s="7">
        <f t="shared" si="10"/>
        <v>50359</v>
      </c>
      <c r="I17">
        <f t="shared" si="4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0.25</v>
      </c>
      <c r="Q17" s="11">
        <f t="shared" si="3"/>
        <v>13.632876712328768</v>
      </c>
      <c r="R17" s="14">
        <f t="shared" si="5"/>
        <v>0.97024347036602199</v>
      </c>
      <c r="S17" s="15">
        <f t="shared" si="6"/>
        <v>12.169981497374842</v>
      </c>
      <c r="T17">
        <f t="shared" si="7"/>
        <v>0.63975040209444234</v>
      </c>
      <c r="U17" s="12">
        <f t="shared" si="8"/>
        <v>4.276470438703571E-2</v>
      </c>
      <c r="V17" s="16">
        <f t="shared" si="9"/>
        <v>0.55821787124454969</v>
      </c>
    </row>
    <row r="18" spans="8:22" x14ac:dyDescent="0.25">
      <c r="H18" s="7">
        <f t="shared" si="10"/>
        <v>50724</v>
      </c>
      <c r="I18">
        <f t="shared" si="4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0.25</v>
      </c>
      <c r="Q18" s="11">
        <f t="shared" si="3"/>
        <v>14.632876712328768</v>
      </c>
      <c r="R18" s="14">
        <f t="shared" si="5"/>
        <v>0.9660157620847788</v>
      </c>
      <c r="S18" s="15">
        <f t="shared" si="6"/>
        <v>12.915870212832775</v>
      </c>
      <c r="T18">
        <f t="shared" si="7"/>
        <v>0.62091000775501792</v>
      </c>
      <c r="U18" s="12">
        <f t="shared" si="8"/>
        <v>4.2568382278285084E-2</v>
      </c>
      <c r="V18" s="16">
        <f t="shared" si="9"/>
        <v>0.53638779052340702</v>
      </c>
    </row>
    <row r="19" spans="8:22" x14ac:dyDescent="0.25">
      <c r="H19" s="7">
        <f t="shared" si="10"/>
        <v>51089</v>
      </c>
      <c r="I19">
        <f t="shared" si="4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0.25</v>
      </c>
      <c r="Q19" s="11">
        <f t="shared" si="3"/>
        <v>15.632876712328768</v>
      </c>
      <c r="R19" s="14">
        <f t="shared" si="5"/>
        <v>0.96156057517048843</v>
      </c>
      <c r="S19" s="15">
        <f t="shared" si="6"/>
        <v>13.63904553396214</v>
      </c>
      <c r="T19">
        <f t="shared" si="7"/>
        <v>0.60293885274800396</v>
      </c>
      <c r="U19" s="12">
        <f t="shared" si="8"/>
        <v>4.2363812609047181E-2</v>
      </c>
      <c r="V19" s="16">
        <f t="shared" si="9"/>
        <v>0.51568031009579163</v>
      </c>
    </row>
    <row r="20" spans="8:22" x14ac:dyDescent="0.25">
      <c r="H20" s="7">
        <f t="shared" si="10"/>
        <v>51455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0.25</v>
      </c>
      <c r="Q20" s="11">
        <f t="shared" si="3"/>
        <v>16.635616438356163</v>
      </c>
      <c r="R20" s="14">
        <f t="shared" si="5"/>
        <v>0.95687573325104758</v>
      </c>
      <c r="S20" s="15">
        <f t="shared" si="6"/>
        <v>14.341271974632246</v>
      </c>
      <c r="T20">
        <f t="shared" si="7"/>
        <v>0.58575456129840076</v>
      </c>
      <c r="U20" s="12">
        <f t="shared" si="8"/>
        <v>4.2151162927966064E-2</v>
      </c>
      <c r="V20" s="16">
        <f t="shared" si="9"/>
        <v>0.49598451182684966</v>
      </c>
    </row>
    <row r="21" spans="8:22" x14ac:dyDescent="0.25">
      <c r="H21" s="7">
        <f t="shared" si="10"/>
        <v>51820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0.25</v>
      </c>
      <c r="Q21" s="11">
        <f t="shared" si="3"/>
        <v>17.635616438356163</v>
      </c>
      <c r="R21" s="14">
        <f t="shared" si="5"/>
        <v>0.95199779979080046</v>
      </c>
      <c r="S21" s="15">
        <f t="shared" si="6"/>
        <v>15.018670386016927</v>
      </c>
      <c r="T21">
        <f t="shared" si="7"/>
        <v>0.56941459363613101</v>
      </c>
      <c r="U21" s="12">
        <f t="shared" si="8"/>
        <v>4.193233854829384E-2</v>
      </c>
      <c r="V21" s="16">
        <f t="shared" si="9"/>
        <v>0.47735127239582487</v>
      </c>
    </row>
    <row r="22" spans="8:22" x14ac:dyDescent="0.25">
      <c r="H22" s="7">
        <f t="shared" si="10"/>
        <v>52185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0.25</v>
      </c>
      <c r="Q22" s="11">
        <f t="shared" si="3"/>
        <v>18.635616438356163</v>
      </c>
      <c r="R22" s="14">
        <f t="shared" si="5"/>
        <v>0.94692518507130341</v>
      </c>
      <c r="S22" s="15">
        <f t="shared" si="6"/>
        <v>15.673225140590445</v>
      </c>
      <c r="T22">
        <f t="shared" si="7"/>
        <v>0.55383491251708206</v>
      </c>
      <c r="U22" s="12">
        <f t="shared" si="8"/>
        <v>4.1707490355590848E-2</v>
      </c>
      <c r="V22" s="16">
        <f t="shared" si="9"/>
        <v>0.45967075633170718</v>
      </c>
    </row>
    <row r="23" spans="8:22" x14ac:dyDescent="0.25">
      <c r="H23" s="7">
        <f t="shared" si="10"/>
        <v>52550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0.25</v>
      </c>
      <c r="Q23" s="11">
        <f t="shared" si="3"/>
        <v>19.635616438356163</v>
      </c>
      <c r="R23" s="14">
        <f t="shared" si="5"/>
        <v>0.94166874450567384</v>
      </c>
      <c r="S23" s="15">
        <f t="shared" si="6"/>
        <v>16.305041540187489</v>
      </c>
      <c r="T23">
        <f t="shared" si="7"/>
        <v>0.53898014576649711</v>
      </c>
      <c r="U23" s="12">
        <f t="shared" si="8"/>
        <v>4.1477318066615358E-2</v>
      </c>
      <c r="V23" s="16">
        <f t="shared" si="9"/>
        <v>0.44289050415095188</v>
      </c>
    </row>
    <row r="24" spans="8:22" x14ac:dyDescent="0.25">
      <c r="H24" s="7">
        <f t="shared" si="10"/>
        <v>52916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0.25</v>
      </c>
      <c r="Q24" s="11">
        <f t="shared" si="3"/>
        <v>20.638356164383563</v>
      </c>
      <c r="R24" s="14">
        <f t="shared" si="5"/>
        <v>0.93622412655580012</v>
      </c>
      <c r="S24" s="15">
        <f t="shared" si="6"/>
        <v>16.915928845404018</v>
      </c>
      <c r="T24">
        <f t="shared" si="7"/>
        <v>0.52477778076046011</v>
      </c>
      <c r="U24" s="12">
        <f t="shared" si="8"/>
        <v>4.1241847732585268E-2</v>
      </c>
      <c r="V24" s="16">
        <f t="shared" si="9"/>
        <v>0.42691773500500352</v>
      </c>
    </row>
    <row r="25" spans="8:22" x14ac:dyDescent="0.25">
      <c r="H25" s="7">
        <f t="shared" si="10"/>
        <v>53281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0.25</v>
      </c>
      <c r="Q25" s="11">
        <f t="shared" si="3"/>
        <v>21.638356164383563</v>
      </c>
      <c r="R25" s="14">
        <f t="shared" si="5"/>
        <v>0.93063171882337858</v>
      </c>
      <c r="S25" s="15">
        <f t="shared" si="6"/>
        <v>17.50278053292967</v>
      </c>
      <c r="T25">
        <f t="shared" si="7"/>
        <v>0.51127160748034661</v>
      </c>
      <c r="U25" s="12">
        <f t="shared" si="8"/>
        <v>4.1003016282826661E-2</v>
      </c>
      <c r="V25" s="16">
        <f t="shared" si="9"/>
        <v>0.41179160523232777</v>
      </c>
    </row>
    <row r="26" spans="8:22" x14ac:dyDescent="0.25">
      <c r="H26" s="7">
        <f t="shared" si="10"/>
        <v>53646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0.25</v>
      </c>
      <c r="Q26" s="11">
        <f t="shared" si="3"/>
        <v>22.638356164383563</v>
      </c>
      <c r="R26" s="14">
        <f t="shared" si="5"/>
        <v>0.92488731531142199</v>
      </c>
      <c r="S26" s="15">
        <f t="shared" si="6"/>
        <v>18.067582433224139</v>
      </c>
      <c r="T26">
        <f t="shared" si="7"/>
        <v>0.49838913643680688</v>
      </c>
      <c r="U26" s="12">
        <f t="shared" si="8"/>
        <v>4.0760807170196839E-2</v>
      </c>
      <c r="V26" s="16">
        <f t="shared" si="9"/>
        <v>0.39742157090015778</v>
      </c>
    </row>
    <row r="27" spans="8:22" x14ac:dyDescent="0.25">
      <c r="H27" s="7">
        <f t="shared" si="10"/>
        <v>54011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0.25</v>
      </c>
      <c r="Q27" s="11">
        <f t="shared" si="3"/>
        <v>23.638356164383563</v>
      </c>
      <c r="R27" s="14">
        <f t="shared" si="5"/>
        <v>0.91900115116971859</v>
      </c>
      <c r="S27" s="15">
        <f t="shared" si="6"/>
        <v>18.610669757622908</v>
      </c>
      <c r="T27">
        <f t="shared" si="7"/>
        <v>0.48609867837409548</v>
      </c>
      <c r="U27" s="12">
        <f t="shared" si="8"/>
        <v>4.0515812045201431E-2</v>
      </c>
      <c r="V27" s="16">
        <f t="shared" si="9"/>
        <v>0.38376411637560698</v>
      </c>
    </row>
    <row r="28" spans="8:22" x14ac:dyDescent="0.25">
      <c r="H28" s="7">
        <f t="shared" si="10"/>
        <v>54377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0.25</v>
      </c>
      <c r="Q28" s="11">
        <f t="shared" si="3"/>
        <v>24.641095890410959</v>
      </c>
      <c r="R28" s="14">
        <f t="shared" si="5"/>
        <v>0.91296657364154099</v>
      </c>
      <c r="S28" s="15">
        <f t="shared" si="6"/>
        <v>19.133822209994431</v>
      </c>
      <c r="T28">
        <f t="shared" si="7"/>
        <v>0.47433828022425173</v>
      </c>
      <c r="U28" s="12">
        <f t="shared" si="8"/>
        <v>4.0267912749790698E-2</v>
      </c>
      <c r="V28" s="16">
        <f t="shared" si="9"/>
        <v>0.37074325188858148</v>
      </c>
    </row>
    <row r="29" spans="8:22" x14ac:dyDescent="0.25">
      <c r="H29" s="7">
        <f t="shared" si="10"/>
        <v>54742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0.25</v>
      </c>
      <c r="Q29" s="11">
        <f t="shared" si="3"/>
        <v>25.641095890410959</v>
      </c>
      <c r="R29" s="14">
        <f t="shared" si="5"/>
        <v>0.90682633630119991</v>
      </c>
      <c r="S29" s="15">
        <f t="shared" si="6"/>
        <v>19.634599989596399</v>
      </c>
      <c r="T29">
        <f t="shared" si="7"/>
        <v>0.46314274684416062</v>
      </c>
      <c r="U29" s="12">
        <f t="shared" si="8"/>
        <v>4.0018996348059985E-2</v>
      </c>
      <c r="V29" s="16">
        <f t="shared" si="9"/>
        <v>0.35839092366458669</v>
      </c>
    </row>
    <row r="30" spans="8:22" x14ac:dyDescent="0.25">
      <c r="H30" s="7">
        <f t="shared" si="10"/>
        <v>55107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>
        <f t="shared" si="4"/>
        <v>0</v>
      </c>
      <c r="O30">
        <f t="shared" si="4"/>
        <v>0.25</v>
      </c>
      <c r="Q30" s="11">
        <f t="shared" si="3"/>
        <v>26.641095890410959</v>
      </c>
      <c r="R30" s="14">
        <f t="shared" si="5"/>
        <v>0.90057361234809008</v>
      </c>
      <c r="S30" s="15">
        <f t="shared" si="6"/>
        <v>20.114913313495794</v>
      </c>
      <c r="T30">
        <f t="shared" si="7"/>
        <v>0.4524509949658303</v>
      </c>
      <c r="U30" s="12">
        <f t="shared" si="8"/>
        <v>3.9768888764458186E-2</v>
      </c>
      <c r="V30" s="16">
        <f t="shared" si="9"/>
        <v>0.34663366435274079</v>
      </c>
    </row>
    <row r="31" spans="8:22" x14ac:dyDescent="0.25">
      <c r="H31" s="7">
        <f t="shared" si="10"/>
        <v>55472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0.25</v>
      </c>
      <c r="Q31" s="11">
        <f t="shared" si="3"/>
        <v>27.641095890410959</v>
      </c>
      <c r="R31" s="14">
        <f t="shared" si="5"/>
        <v>0.89421760114429916</v>
      </c>
      <c r="S31" s="15">
        <f t="shared" si="6"/>
        <v>20.575242912218108</v>
      </c>
      <c r="T31">
        <f t="shared" si="7"/>
        <v>0.44223603685978857</v>
      </c>
      <c r="U31" s="12">
        <f t="shared" si="8"/>
        <v>3.9518059726448077E-2</v>
      </c>
      <c r="V31" s="16">
        <f t="shared" si="9"/>
        <v>0.33543654425383429</v>
      </c>
    </row>
    <row r="32" spans="8:22" x14ac:dyDescent="0.25">
      <c r="H32" s="7">
        <f t="shared" si="10"/>
        <v>55838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100.25</v>
      </c>
      <c r="Q32" s="11">
        <f t="shared" si="3"/>
        <v>28.643835616438356</v>
      </c>
      <c r="R32" s="14">
        <f t="shared" si="5"/>
        <v>0.8877494093305941</v>
      </c>
      <c r="S32" s="15">
        <f t="shared" si="6"/>
        <v>21.01727540882468</v>
      </c>
      <c r="T32">
        <f t="shared" si="7"/>
        <v>0.43244594015661708</v>
      </c>
      <c r="U32" s="12">
        <f t="shared" si="8"/>
        <v>3.926626047941114E-2</v>
      </c>
      <c r="V32" s="16">
        <f t="shared" si="9"/>
        <v>0.32473808611104787</v>
      </c>
    </row>
    <row r="33" spans="4:22" x14ac:dyDescent="0.25">
      <c r="H33" s="7">
        <f t="shared" si="10"/>
        <v>56203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0</v>
      </c>
      <c r="Q33" s="11">
        <f t="shared" si="3"/>
        <v>29.643835616438356</v>
      </c>
      <c r="R33" s="14">
        <f t="shared" si="5"/>
        <v>0.88121299328057312</v>
      </c>
      <c r="S33" s="15">
        <f t="shared" si="6"/>
        <v>21.439121679572299</v>
      </c>
      <c r="T33">
        <f t="shared" si="7"/>
        <v>0.42310957024165086</v>
      </c>
      <c r="U33" s="12">
        <f t="shared" si="8"/>
        <v>3.90152770142057E-2</v>
      </c>
      <c r="V33" s="16">
        <f t="shared" si="9"/>
        <v>0.31456565699863648</v>
      </c>
    </row>
    <row r="35" spans="4:22" x14ac:dyDescent="0.25">
      <c r="H35" t="s">
        <v>55</v>
      </c>
      <c r="I35" cm="1">
        <f t="array" ref="I35:O35">TRANSPOSE(C4:C10)</f>
        <v>96.38</v>
      </c>
      <c r="J35">
        <v>97.13</v>
      </c>
      <c r="K35">
        <v>99.35</v>
      </c>
      <c r="L35">
        <v>90.54</v>
      </c>
      <c r="M35">
        <v>86</v>
      </c>
      <c r="N35">
        <v>92.4</v>
      </c>
      <c r="O35">
        <v>46.4</v>
      </c>
    </row>
    <row r="36" spans="4:22" x14ac:dyDescent="0.25">
      <c r="H36" t="s">
        <v>56</v>
      </c>
      <c r="I36">
        <f>SUMPRODUCT(I4:I33,$V$4:$V$33)</f>
        <v>97.27572076769772</v>
      </c>
      <c r="J36">
        <f t="shared" ref="J36:O36" si="11">SUMPRODUCT(J4:J33,$V$4:$V$33)</f>
        <v>96.402290650386334</v>
      </c>
      <c r="K36">
        <f t="shared" si="11"/>
        <v>95.34274170234967</v>
      </c>
      <c r="L36">
        <f t="shared" si="11"/>
        <v>87.049193708303193</v>
      </c>
      <c r="M36">
        <f t="shared" si="11"/>
        <v>80.712130759566932</v>
      </c>
      <c r="N36">
        <f t="shared" si="11"/>
        <v>83.922539947323656</v>
      </c>
      <c r="O36">
        <f t="shared" si="11"/>
        <v>36.651691788804584</v>
      </c>
    </row>
    <row r="37" spans="4:22" x14ac:dyDescent="0.25">
      <c r="H37" t="s">
        <v>57</v>
      </c>
      <c r="I37">
        <f>(I35-I36)^2</f>
        <v>0.80231569368500144</v>
      </c>
      <c r="J37">
        <f t="shared" ref="J37:O37" si="12">(J35-J36)^2</f>
        <v>0.52956089751513824</v>
      </c>
      <c r="K37">
        <f t="shared" si="12"/>
        <v>16.058119064087375</v>
      </c>
      <c r="L37">
        <f t="shared" si="12"/>
        <v>12.185728566150058</v>
      </c>
      <c r="M37">
        <f t="shared" si="12"/>
        <v>27.961561103918189</v>
      </c>
      <c r="N37">
        <f t="shared" si="12"/>
        <v>71.867328944723297</v>
      </c>
      <c r="O37">
        <f t="shared" si="12"/>
        <v>95.029512980459941</v>
      </c>
    </row>
    <row r="39" spans="4:22" x14ac:dyDescent="0.25">
      <c r="H39" t="s">
        <v>74</v>
      </c>
      <c r="I39">
        <f>SUM(I37:O37)</f>
        <v>224.43412725053901</v>
      </c>
      <c r="U39" s="1">
        <f>AVERAGE(U4:U33)</f>
        <v>4.2166512160723049E-2</v>
      </c>
    </row>
    <row r="43" spans="4:22" x14ac:dyDescent="0.25">
      <c r="D43" s="7"/>
      <c r="K43" s="3"/>
    </row>
    <row r="44" spans="4:22" x14ac:dyDescent="0.25">
      <c r="D44" s="7"/>
      <c r="K44" s="3"/>
    </row>
    <row r="45" spans="4:22" x14ac:dyDescent="0.25">
      <c r="D45" s="7"/>
      <c r="K45" s="3"/>
    </row>
    <row r="46" spans="4:22" x14ac:dyDescent="0.25">
      <c r="D46" s="7"/>
      <c r="K46" s="3"/>
    </row>
    <row r="47" spans="4:22" x14ac:dyDescent="0.25">
      <c r="D47" s="7"/>
      <c r="K47" s="3"/>
    </row>
    <row r="48" spans="4:22" x14ac:dyDescent="0.25">
      <c r="D48" s="7"/>
      <c r="K48" s="3"/>
    </row>
    <row r="49" spans="4:11" x14ac:dyDescent="0.25">
      <c r="D49" s="7"/>
      <c r="K49" s="3"/>
    </row>
  </sheetData>
  <autoFilter ref="A3:F10" xr:uid="{3123E469-286C-43A5-8CF5-131E56FEC6E0}">
    <sortState xmlns:xlrd2="http://schemas.microsoft.com/office/spreadsheetml/2017/richdata2" ref="A4:F10">
      <sortCondition ref="D3:D10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232-7E7C-4E82-8A41-A14DF4768B22}">
  <dimension ref="A1:X49"/>
  <sheetViews>
    <sheetView topLeftCell="B1" workbookViewId="0">
      <selection activeCell="H33" sqref="H1:H33"/>
    </sheetView>
  </sheetViews>
  <sheetFormatPr defaultRowHeight="15" x14ac:dyDescent="0.25"/>
  <cols>
    <col min="1" max="1" width="13.5703125" bestFit="1" customWidth="1"/>
    <col min="2" max="2" width="11.5703125" bestFit="1" customWidth="1"/>
    <col min="4" max="4" width="10.42578125" bestFit="1" customWidth="1"/>
    <col min="6" max="6" width="19.42578125" bestFit="1" customWidth="1"/>
    <col min="8" max="8" width="10.42578125" bestFit="1" customWidth="1"/>
    <col min="9" max="15" width="13.5703125" bestFit="1" customWidth="1"/>
    <col min="24" max="24" width="10.140625" bestFit="1" customWidth="1"/>
  </cols>
  <sheetData>
    <row r="1" spans="1:24" x14ac:dyDescent="0.25">
      <c r="A1" t="s">
        <v>27</v>
      </c>
      <c r="B1" s="7">
        <v>45201</v>
      </c>
      <c r="H1" t="s">
        <v>28</v>
      </c>
      <c r="I1" s="8" cm="1">
        <f t="array" ref="I1:O1">TRANSPOSE(B4:B10)</f>
        <v>0</v>
      </c>
      <c r="J1" s="8">
        <v>1.7500000000000002E-2</v>
      </c>
      <c r="K1" s="8">
        <v>2.2499999999999999E-2</v>
      </c>
      <c r="L1" s="8">
        <v>5.0000000000000001E-3</v>
      </c>
      <c r="M1" s="8">
        <v>5.0000000000000001E-3</v>
      </c>
      <c r="N1" s="8">
        <v>2.2499999999999999E-2</v>
      </c>
      <c r="O1" s="8">
        <v>2.5000000000000001E-3</v>
      </c>
      <c r="X1" t="s">
        <v>72</v>
      </c>
    </row>
    <row r="2" spans="1:24" x14ac:dyDescent="0.25">
      <c r="H2" t="s">
        <v>25</v>
      </c>
      <c r="I2" s="7" cm="1">
        <f t="array" ref="I2:O2">TRANSPOSE(D4:D10)</f>
        <v>45611</v>
      </c>
      <c r="J2" s="7">
        <v>45976</v>
      </c>
      <c r="K2" s="7">
        <v>46341</v>
      </c>
      <c r="L2" s="7">
        <v>46706</v>
      </c>
      <c r="M2" s="7">
        <v>47437</v>
      </c>
      <c r="N2" s="7">
        <v>48898</v>
      </c>
      <c r="O2" s="7">
        <v>55838</v>
      </c>
      <c r="Q2" t="s">
        <v>31</v>
      </c>
      <c r="W2" t="s">
        <v>64</v>
      </c>
      <c r="X2" s="13">
        <v>1.0172189450599899E-2</v>
      </c>
    </row>
    <row r="3" spans="1:24" x14ac:dyDescent="0.25">
      <c r="A3" t="s">
        <v>33</v>
      </c>
      <c r="B3" t="s">
        <v>26</v>
      </c>
      <c r="C3" s="10" t="s">
        <v>34</v>
      </c>
      <c r="D3" t="s">
        <v>35</v>
      </c>
      <c r="E3" t="s">
        <v>36</v>
      </c>
      <c r="F3" t="s">
        <v>37</v>
      </c>
      <c r="H3" t="s">
        <v>38</v>
      </c>
      <c r="I3" t="str" cm="1">
        <f t="array" ref="I3:O3">TRANSPOSE(A4:A10)</f>
        <v>DK0009924292</v>
      </c>
      <c r="J3" t="str">
        <v>DK0009923138</v>
      </c>
      <c r="K3" t="str">
        <v>DK0009924888</v>
      </c>
      <c r="L3" t="str">
        <v>DK0009923567</v>
      </c>
      <c r="M3" t="str">
        <v>DK0009923807</v>
      </c>
      <c r="N3" t="str">
        <v>DK0009924532</v>
      </c>
      <c r="O3" t="str">
        <v>DK0009924029</v>
      </c>
      <c r="Q3" t="s">
        <v>6</v>
      </c>
      <c r="R3" t="s">
        <v>70</v>
      </c>
      <c r="S3" t="s">
        <v>71</v>
      </c>
      <c r="T3" t="s">
        <v>40</v>
      </c>
      <c r="U3" t="s">
        <v>39</v>
      </c>
      <c r="W3" t="s">
        <v>65</v>
      </c>
      <c r="X3" s="13">
        <v>3.4221073094520403E-2</v>
      </c>
    </row>
    <row r="4" spans="1:24" x14ac:dyDescent="0.25">
      <c r="A4" t="s">
        <v>42</v>
      </c>
      <c r="B4" s="12">
        <v>0</v>
      </c>
      <c r="C4" s="4">
        <v>96.38</v>
      </c>
      <c r="D4" s="7">
        <v>45611</v>
      </c>
      <c r="E4" s="6">
        <f t="shared" ref="E4:E10" si="0">(1-($H$4-$B$1)/365)*B4*100</f>
        <v>0</v>
      </c>
      <c r="F4" s="6">
        <f t="shared" ref="F4:F10" si="1">C4+E4</f>
        <v>96.38</v>
      </c>
      <c r="H4" s="7">
        <v>45245</v>
      </c>
      <c r="I4">
        <f>IF($H4&gt;I$2,0,IF($H4=I$2,1+I$1,I$1)*100)</f>
        <v>0</v>
      </c>
      <c r="J4">
        <f t="shared" ref="J4:O19" si="2">IF($H4&gt;J$2,0,IF($H4=J$2,1+J$1,J$1)*100)</f>
        <v>1.7500000000000002</v>
      </c>
      <c r="K4">
        <f t="shared" si="2"/>
        <v>2.25</v>
      </c>
      <c r="L4">
        <f t="shared" si="2"/>
        <v>0.5</v>
      </c>
      <c r="M4">
        <f t="shared" si="2"/>
        <v>0.5</v>
      </c>
      <c r="N4">
        <f t="shared" si="2"/>
        <v>2.25</v>
      </c>
      <c r="O4">
        <f t="shared" si="2"/>
        <v>0.25</v>
      </c>
      <c r="Q4" s="11">
        <f t="shared" ref="Q4:Q33" si="3">(H4-$B$1)/365</f>
        <v>0.12054794520547946</v>
      </c>
      <c r="R4" s="14">
        <f>EXP((S4-Q4)*($X$2^2*$X$3-$X$4^2/2)/($X$2^2)-$X$4^2*S4^2/(4*$X$2))</f>
        <v>0.99999748841857361</v>
      </c>
      <c r="S4" s="15">
        <f>(1-EXP(-$X$2*Q4))/$X$2</f>
        <v>0.12047406525925501</v>
      </c>
      <c r="T4">
        <f>R4*EXP(-S4*$X$5)</f>
        <v>0.99572380446806763</v>
      </c>
      <c r="U4" s="12">
        <f>-1/Q4*LN(T4)</f>
        <v>3.5549047287718689E-2</v>
      </c>
      <c r="V4" s="12"/>
      <c r="W4" t="s">
        <v>66</v>
      </c>
      <c r="X4" s="13">
        <v>7.55887677064621E-3</v>
      </c>
    </row>
    <row r="5" spans="1:24" x14ac:dyDescent="0.25">
      <c r="A5" t="s">
        <v>44</v>
      </c>
      <c r="B5" s="12">
        <v>1.7500000000000002E-2</v>
      </c>
      <c r="C5" s="4">
        <v>97.13</v>
      </c>
      <c r="D5" s="7">
        <v>45976</v>
      </c>
      <c r="E5" s="6">
        <f t="shared" si="0"/>
        <v>1.5390410958904113</v>
      </c>
      <c r="F5" s="6">
        <f t="shared" si="1"/>
        <v>98.669041095890407</v>
      </c>
      <c r="H5" s="7">
        <f>DATE(YEAR(H4)+1,MONTH(H4),DAY(H4))</f>
        <v>45611</v>
      </c>
      <c r="I5">
        <f t="shared" ref="I5:O33" si="4">IF($H5&gt;I$2,0,IF($H5=I$2,1+I$1,I$1)*100)</f>
        <v>100</v>
      </c>
      <c r="J5">
        <f t="shared" si="2"/>
        <v>1.7500000000000002</v>
      </c>
      <c r="K5">
        <f t="shared" si="2"/>
        <v>2.25</v>
      </c>
      <c r="L5">
        <f t="shared" si="2"/>
        <v>0.5</v>
      </c>
      <c r="M5">
        <f t="shared" si="2"/>
        <v>0.5</v>
      </c>
      <c r="N5">
        <f t="shared" si="2"/>
        <v>2.25</v>
      </c>
      <c r="O5">
        <f t="shared" si="2"/>
        <v>0.25</v>
      </c>
      <c r="Q5" s="11">
        <f t="shared" si="3"/>
        <v>1.1232876712328768</v>
      </c>
      <c r="R5" s="14">
        <f t="shared" ref="R5:R33" si="5">EXP((S5-Q5)*($X$2^2*$X$3-$X$4^2/2)/($X$2^2)-$X$4^2*S5^2/(4*$X$2))</f>
        <v>0.99979462306964606</v>
      </c>
      <c r="S5" s="15">
        <f t="shared" ref="S5:S33" si="6">(1-EXP(-$X$2*Q5))/$X$2</f>
        <v>1.1168945361996618</v>
      </c>
      <c r="T5">
        <f t="shared" ref="T5:T33" si="7">R5*EXP(-S5*$X$5)</f>
        <v>0.96087495438520787</v>
      </c>
      <c r="U5" s="12">
        <f t="shared" ref="U5:U33" si="8">-1/Q5*LN(T5)</f>
        <v>3.553052330858128E-2</v>
      </c>
      <c r="V5" s="12"/>
      <c r="W5" t="s">
        <v>69</v>
      </c>
      <c r="X5" s="13">
        <v>3.5549999999999998E-2</v>
      </c>
    </row>
    <row r="6" spans="1:24" x14ac:dyDescent="0.25">
      <c r="A6" t="s">
        <v>46</v>
      </c>
      <c r="B6" s="12">
        <v>2.2499999999999999E-2</v>
      </c>
      <c r="C6" s="4">
        <v>99.35</v>
      </c>
      <c r="D6" s="7">
        <v>46341</v>
      </c>
      <c r="E6" s="6">
        <f t="shared" si="0"/>
        <v>1.9787671232876713</v>
      </c>
      <c r="F6" s="6">
        <f t="shared" si="1"/>
        <v>101.32876712328766</v>
      </c>
      <c r="H6" s="7">
        <f t="shared" ref="H6:H33" si="9">DATE(YEAR(H5)+1,MONTH(H5),DAY(H5))</f>
        <v>45976</v>
      </c>
      <c r="I6">
        <f t="shared" si="4"/>
        <v>0</v>
      </c>
      <c r="J6">
        <f t="shared" si="2"/>
        <v>101.75</v>
      </c>
      <c r="K6">
        <f t="shared" si="2"/>
        <v>2.25</v>
      </c>
      <c r="L6">
        <f t="shared" si="2"/>
        <v>0.5</v>
      </c>
      <c r="M6">
        <f t="shared" si="2"/>
        <v>0.5</v>
      </c>
      <c r="N6">
        <f t="shared" si="2"/>
        <v>2.25</v>
      </c>
      <c r="O6">
        <f t="shared" si="2"/>
        <v>0.25</v>
      </c>
      <c r="Q6" s="11">
        <f t="shared" si="3"/>
        <v>2.1232876712328768</v>
      </c>
      <c r="R6" s="14">
        <f t="shared" si="5"/>
        <v>0.9993108659007125</v>
      </c>
      <c r="S6" s="15">
        <f t="shared" si="6"/>
        <v>2.1005219694862602</v>
      </c>
      <c r="T6">
        <f t="shared" si="7"/>
        <v>0.9274068436327727</v>
      </c>
      <c r="U6" s="12">
        <f t="shared" si="8"/>
        <v>3.5493507873483814E-2</v>
      </c>
      <c r="V6" s="12"/>
    </row>
    <row r="7" spans="1:24" x14ac:dyDescent="0.25">
      <c r="A7" t="s">
        <v>48</v>
      </c>
      <c r="B7" s="12">
        <v>5.0000000000000001E-3</v>
      </c>
      <c r="C7" s="4">
        <v>90.54</v>
      </c>
      <c r="D7" s="7">
        <v>46706</v>
      </c>
      <c r="E7" s="6">
        <f t="shared" si="0"/>
        <v>0.43972602739726036</v>
      </c>
      <c r="F7" s="6">
        <f t="shared" si="1"/>
        <v>90.979726027397263</v>
      </c>
      <c r="H7" s="7">
        <f t="shared" si="9"/>
        <v>46341</v>
      </c>
      <c r="I7">
        <f t="shared" si="4"/>
        <v>0</v>
      </c>
      <c r="J7">
        <f t="shared" si="2"/>
        <v>0</v>
      </c>
      <c r="K7">
        <f t="shared" si="2"/>
        <v>102.25</v>
      </c>
      <c r="L7">
        <f t="shared" si="2"/>
        <v>0.5</v>
      </c>
      <c r="M7">
        <f t="shared" si="2"/>
        <v>0.5</v>
      </c>
      <c r="N7">
        <f t="shared" si="2"/>
        <v>2.25</v>
      </c>
      <c r="O7">
        <f t="shared" si="2"/>
        <v>0.25</v>
      </c>
      <c r="Q7" s="11">
        <f t="shared" si="3"/>
        <v>3.1232876712328768</v>
      </c>
      <c r="R7" s="14">
        <f t="shared" si="5"/>
        <v>0.99860427553196918</v>
      </c>
      <c r="S7" s="15">
        <f t="shared" si="6"/>
        <v>3.0741944757137265</v>
      </c>
      <c r="T7">
        <f t="shared" si="7"/>
        <v>0.8952213140473555</v>
      </c>
      <c r="U7" s="12">
        <f t="shared" si="8"/>
        <v>3.5438398463827674E-2</v>
      </c>
      <c r="V7" s="12"/>
    </row>
    <row r="8" spans="1:24" x14ac:dyDescent="0.25">
      <c r="A8" t="s">
        <v>50</v>
      </c>
      <c r="B8" s="12">
        <v>5.0000000000000001E-3</v>
      </c>
      <c r="C8" s="4">
        <v>86</v>
      </c>
      <c r="D8" s="7">
        <v>47437</v>
      </c>
      <c r="E8" s="6">
        <f t="shared" si="0"/>
        <v>0.43972602739726036</v>
      </c>
      <c r="F8" s="6">
        <f t="shared" si="1"/>
        <v>86.439726027397256</v>
      </c>
      <c r="H8" s="7">
        <f t="shared" si="9"/>
        <v>46706</v>
      </c>
      <c r="I8">
        <f t="shared" si="4"/>
        <v>0</v>
      </c>
      <c r="J8">
        <f t="shared" si="2"/>
        <v>0</v>
      </c>
      <c r="K8">
        <f t="shared" si="2"/>
        <v>0</v>
      </c>
      <c r="L8">
        <f t="shared" si="2"/>
        <v>100.49999999999999</v>
      </c>
      <c r="M8">
        <f t="shared" si="2"/>
        <v>0.5</v>
      </c>
      <c r="N8">
        <f t="shared" si="2"/>
        <v>2.25</v>
      </c>
      <c r="O8">
        <f t="shared" si="2"/>
        <v>0.25</v>
      </c>
      <c r="Q8" s="11">
        <f t="shared" si="3"/>
        <v>4.1232876712328768</v>
      </c>
      <c r="R8" s="14">
        <f t="shared" si="5"/>
        <v>0.99773135104881094</v>
      </c>
      <c r="S8" s="15">
        <f t="shared" si="6"/>
        <v>4.0380128049927224</v>
      </c>
      <c r="T8">
        <f t="shared" si="7"/>
        <v>0.86431103439158685</v>
      </c>
      <c r="U8" s="12">
        <f t="shared" si="8"/>
        <v>3.5365609454994722E-2</v>
      </c>
      <c r="V8" s="12"/>
    </row>
    <row r="9" spans="1:24" x14ac:dyDescent="0.25">
      <c r="A9" t="s">
        <v>52</v>
      </c>
      <c r="B9" s="12">
        <v>2.2499999999999999E-2</v>
      </c>
      <c r="C9" s="4">
        <v>92.4</v>
      </c>
      <c r="D9" s="7">
        <v>48898</v>
      </c>
      <c r="E9" s="6">
        <f t="shared" si="0"/>
        <v>1.9787671232876713</v>
      </c>
      <c r="F9" s="6">
        <f t="shared" si="1"/>
        <v>94.378767123287673</v>
      </c>
      <c r="H9" s="7">
        <f t="shared" si="9"/>
        <v>47072</v>
      </c>
      <c r="I9">
        <f t="shared" si="4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0.5</v>
      </c>
      <c r="N9">
        <f t="shared" si="2"/>
        <v>2.25</v>
      </c>
      <c r="O9">
        <f t="shared" si="2"/>
        <v>0.25</v>
      </c>
      <c r="Q9" s="11">
        <f t="shared" si="3"/>
        <v>5.1260273972602741</v>
      </c>
      <c r="R9" s="14">
        <f t="shared" si="5"/>
        <v>0.99674405060700599</v>
      </c>
      <c r="S9" s="15">
        <f t="shared" si="6"/>
        <v>4.9946772533230916</v>
      </c>
      <c r="T9">
        <f t="shared" si="7"/>
        <v>0.8345838697907616</v>
      </c>
      <c r="U9" s="12">
        <f t="shared" si="8"/>
        <v>3.5275277299987334E-2</v>
      </c>
      <c r="V9" s="12"/>
    </row>
    <row r="10" spans="1:24" x14ac:dyDescent="0.25">
      <c r="A10" t="s">
        <v>54</v>
      </c>
      <c r="B10" s="12">
        <v>2.5000000000000001E-3</v>
      </c>
      <c r="C10" s="4">
        <v>46.4</v>
      </c>
      <c r="D10" s="7">
        <v>55838</v>
      </c>
      <c r="E10" s="6">
        <f t="shared" si="0"/>
        <v>0.21986301369863018</v>
      </c>
      <c r="F10" s="6">
        <f t="shared" si="1"/>
        <v>46.619863013698627</v>
      </c>
      <c r="H10" s="7">
        <f t="shared" si="9"/>
        <v>47437</v>
      </c>
      <c r="I10">
        <f t="shared" si="4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100.49999999999999</v>
      </c>
      <c r="N10">
        <f t="shared" si="2"/>
        <v>2.25</v>
      </c>
      <c r="O10">
        <f t="shared" si="2"/>
        <v>0.25</v>
      </c>
      <c r="Q10" s="11">
        <f t="shared" si="3"/>
        <v>6.1260273972602741</v>
      </c>
      <c r="R10" s="14">
        <f t="shared" si="5"/>
        <v>0.99570087737445823</v>
      </c>
      <c r="S10" s="15">
        <f t="shared" si="6"/>
        <v>5.9390590913835206</v>
      </c>
      <c r="T10">
        <f t="shared" si="7"/>
        <v>0.80618507509892823</v>
      </c>
      <c r="U10" s="12">
        <f t="shared" si="8"/>
        <v>3.5168295398101096E-2</v>
      </c>
      <c r="V10" s="12"/>
    </row>
    <row r="11" spans="1:24" x14ac:dyDescent="0.25">
      <c r="B11" s="8"/>
      <c r="C11" s="4"/>
      <c r="D11" s="7"/>
      <c r="H11" s="7">
        <f t="shared" si="9"/>
        <v>47802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2.25</v>
      </c>
      <c r="O11">
        <f t="shared" si="2"/>
        <v>0.25</v>
      </c>
      <c r="Q11" s="11">
        <f t="shared" si="3"/>
        <v>7.1260273972602741</v>
      </c>
      <c r="R11" s="14">
        <f t="shared" si="5"/>
        <v>0.99465047633227299</v>
      </c>
      <c r="S11" s="15">
        <f t="shared" si="6"/>
        <v>6.8738831924434294</v>
      </c>
      <c r="T11">
        <f t="shared" si="7"/>
        <v>0.77901075184397472</v>
      </c>
      <c r="U11" s="12">
        <f t="shared" si="8"/>
        <v>3.5044831737846636E-2</v>
      </c>
      <c r="V11" s="12"/>
    </row>
    <row r="12" spans="1:24" x14ac:dyDescent="0.25">
      <c r="B12" s="8"/>
      <c r="C12" s="4"/>
      <c r="D12" s="7"/>
      <c r="H12" s="7">
        <f t="shared" si="9"/>
        <v>48167</v>
      </c>
      <c r="I12">
        <f t="shared" si="4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2.25</v>
      </c>
      <c r="O12">
        <f t="shared" si="2"/>
        <v>0.25</v>
      </c>
      <c r="Q12" s="11">
        <f t="shared" si="3"/>
        <v>8.1260273972602732</v>
      </c>
      <c r="R12" s="14">
        <f t="shared" si="5"/>
        <v>0.99364231935909819</v>
      </c>
      <c r="S12" s="15">
        <f t="shared" si="6"/>
        <v>7.7992462868007442</v>
      </c>
      <c r="T12">
        <f t="shared" si="7"/>
        <v>0.75303679919901279</v>
      </c>
      <c r="U12" s="12">
        <f t="shared" si="8"/>
        <v>3.4905270237431001E-2</v>
      </c>
      <c r="V12" s="12"/>
    </row>
    <row r="13" spans="1:24" x14ac:dyDescent="0.25">
      <c r="H13" s="7">
        <f t="shared" si="9"/>
        <v>48533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2.25</v>
      </c>
      <c r="O13">
        <f t="shared" si="2"/>
        <v>0.25</v>
      </c>
      <c r="Q13" s="11">
        <f t="shared" si="3"/>
        <v>9.1287671232876715</v>
      </c>
      <c r="R13" s="14">
        <f t="shared" si="5"/>
        <v>0.99272183900942623</v>
      </c>
      <c r="S13" s="15">
        <f t="shared" si="6"/>
        <v>8.717740931772763</v>
      </c>
      <c r="T13">
        <f t="shared" si="7"/>
        <v>0.72817020054987724</v>
      </c>
      <c r="U13" s="12">
        <f t="shared" si="8"/>
        <v>3.4749540859376343E-2</v>
      </c>
      <c r="V13" s="12"/>
    </row>
    <row r="14" spans="1:24" x14ac:dyDescent="0.25">
      <c r="H14" s="7">
        <f t="shared" si="9"/>
        <v>48898</v>
      </c>
      <c r="I14">
        <f t="shared" si="4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102.25</v>
      </c>
      <c r="O14">
        <f t="shared" si="2"/>
        <v>0.25</v>
      </c>
      <c r="Q14" s="11">
        <f t="shared" si="3"/>
        <v>10.128767123287671</v>
      </c>
      <c r="R14" s="14">
        <f t="shared" si="5"/>
        <v>0.99194033408799587</v>
      </c>
      <c r="S14" s="15">
        <f t="shared" si="6"/>
        <v>9.6244430283973301</v>
      </c>
      <c r="T14">
        <f t="shared" si="7"/>
        <v>0.70451808995279408</v>
      </c>
      <c r="U14" s="12">
        <f t="shared" si="8"/>
        <v>3.4578864929093941E-2</v>
      </c>
      <c r="V14" s="12"/>
    </row>
    <row r="15" spans="1:24" x14ac:dyDescent="0.25">
      <c r="H15" s="7">
        <f t="shared" si="9"/>
        <v>49263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0.25</v>
      </c>
      <c r="Q15" s="11">
        <f t="shared" si="3"/>
        <v>11.128767123287671</v>
      </c>
      <c r="R15" s="14">
        <f t="shared" si="5"/>
        <v>0.99133978360351949</v>
      </c>
      <c r="S15" s="15">
        <f t="shared" si="6"/>
        <v>10.521968730656704</v>
      </c>
      <c r="T15">
        <f t="shared" si="7"/>
        <v>0.68198069883683221</v>
      </c>
      <c r="U15" s="12">
        <f t="shared" si="8"/>
        <v>3.4393200803346187E-2</v>
      </c>
      <c r="V15" s="12"/>
    </row>
    <row r="16" spans="1:24" x14ac:dyDescent="0.25">
      <c r="H16" s="7">
        <f t="shared" si="9"/>
        <v>49628</v>
      </c>
      <c r="I16">
        <f t="shared" si="4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0.25</v>
      </c>
      <c r="Q16" s="11">
        <f t="shared" si="3"/>
        <v>12.128767123287671</v>
      </c>
      <c r="R16" s="14">
        <f t="shared" si="5"/>
        <v>0.99096341454788595</v>
      </c>
      <c r="S16" s="15">
        <f t="shared" si="6"/>
        <v>11.410410909421994</v>
      </c>
      <c r="T16">
        <f t="shared" si="7"/>
        <v>0.66052667426615497</v>
      </c>
      <c r="U16" s="12">
        <f t="shared" si="8"/>
        <v>3.4192904081637526E-2</v>
      </c>
      <c r="V16" s="12"/>
    </row>
    <row r="17" spans="8:22" x14ac:dyDescent="0.25">
      <c r="H17" s="7">
        <f t="shared" si="9"/>
        <v>49994</v>
      </c>
      <c r="I17">
        <f t="shared" si="4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0.25</v>
      </c>
      <c r="Q17" s="11">
        <f t="shared" si="3"/>
        <v>13.131506849315068</v>
      </c>
      <c r="R17" s="14">
        <f t="shared" si="5"/>
        <v>0.99085326859845591</v>
      </c>
      <c r="S17" s="15">
        <f t="shared" si="6"/>
        <v>12.292258681976547</v>
      </c>
      <c r="T17">
        <f t="shared" si="7"/>
        <v>0.64006943537729721</v>
      </c>
      <c r="U17" s="12">
        <f t="shared" si="8"/>
        <v>3.3977716408043507E-2</v>
      </c>
      <c r="V17" s="12"/>
    </row>
    <row r="18" spans="8:22" x14ac:dyDescent="0.25">
      <c r="H18" s="7">
        <f t="shared" si="9"/>
        <v>50359</v>
      </c>
      <c r="I18">
        <f t="shared" si="4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0.25</v>
      </c>
      <c r="Q18" s="11">
        <f t="shared" si="3"/>
        <v>14.131506849315068</v>
      </c>
      <c r="R18" s="14">
        <f t="shared" si="5"/>
        <v>0.99105083195026566</v>
      </c>
      <c r="S18" s="15">
        <f t="shared" si="6"/>
        <v>13.162784415203092</v>
      </c>
      <c r="T18">
        <f t="shared" si="7"/>
        <v>0.62068818647024548</v>
      </c>
      <c r="U18" s="12">
        <f t="shared" si="8"/>
        <v>3.3749156648401377E-2</v>
      </c>
      <c r="V18" s="12"/>
    </row>
    <row r="19" spans="8:22" x14ac:dyDescent="0.25">
      <c r="H19" s="7">
        <f t="shared" si="9"/>
        <v>50724</v>
      </c>
      <c r="I19">
        <f t="shared" si="4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0.25</v>
      </c>
      <c r="Q19" s="11">
        <f t="shared" si="3"/>
        <v>15.131506849315068</v>
      </c>
      <c r="R19" s="14">
        <f t="shared" si="5"/>
        <v>0.99159521220180313</v>
      </c>
      <c r="S19" s="15">
        <f t="shared" si="6"/>
        <v>14.024499881570351</v>
      </c>
      <c r="T19">
        <f t="shared" si="7"/>
        <v>0.60229297779722135</v>
      </c>
      <c r="U19" s="12">
        <f t="shared" si="8"/>
        <v>3.350699193596339E-2</v>
      </c>
      <c r="V19" s="12"/>
    </row>
    <row r="20" spans="8:22" x14ac:dyDescent="0.25">
      <c r="H20" s="7">
        <f t="shared" si="9"/>
        <v>51089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0.25</v>
      </c>
      <c r="Q20" s="11">
        <f t="shared" si="3"/>
        <v>16.13150684931507</v>
      </c>
      <c r="R20" s="14">
        <f t="shared" si="5"/>
        <v>0.99252536410433356</v>
      </c>
      <c r="S20" s="15">
        <f t="shared" si="6"/>
        <v>14.877494246509245</v>
      </c>
      <c r="T20">
        <f t="shared" si="7"/>
        <v>0.58485131208163155</v>
      </c>
      <c r="U20" s="12">
        <f t="shared" si="8"/>
        <v>3.3251551541255128E-2</v>
      </c>
      <c r="V20" s="12"/>
    </row>
    <row r="21" spans="8:22" x14ac:dyDescent="0.25">
      <c r="H21" s="7">
        <f t="shared" si="9"/>
        <v>51455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0.25</v>
      </c>
      <c r="Q21" s="11">
        <f t="shared" si="3"/>
        <v>17.134246575342466</v>
      </c>
      <c r="R21" s="14">
        <f t="shared" si="5"/>
        <v>0.99388390179636543</v>
      </c>
      <c r="S21" s="15">
        <f t="shared" si="6"/>
        <v>15.724157314406737</v>
      </c>
      <c r="T21">
        <f t="shared" si="7"/>
        <v>0.56828702018031296</v>
      </c>
      <c r="U21" s="12">
        <f t="shared" si="8"/>
        <v>3.2982405627635915E-2</v>
      </c>
      <c r="V21" s="12"/>
    </row>
    <row r="22" spans="8:22" x14ac:dyDescent="0.25">
      <c r="H22" s="7">
        <f t="shared" si="9"/>
        <v>51820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0.25</v>
      </c>
      <c r="Q22" s="11">
        <f t="shared" si="3"/>
        <v>18.134246575342466</v>
      </c>
      <c r="R22" s="14">
        <f t="shared" si="5"/>
        <v>0.99570128366457133</v>
      </c>
      <c r="S22" s="15">
        <f t="shared" si="6"/>
        <v>16.559950079230781</v>
      </c>
      <c r="T22">
        <f t="shared" si="7"/>
        <v>0.5526589427936679</v>
      </c>
      <c r="U22" s="12">
        <f t="shared" si="8"/>
        <v>3.270134247009477E-2</v>
      </c>
      <c r="V22" s="12"/>
    </row>
    <row r="23" spans="8:22" x14ac:dyDescent="0.25">
      <c r="H23" s="7">
        <f t="shared" si="9"/>
        <v>52185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0.25</v>
      </c>
      <c r="Q23" s="11">
        <f t="shared" si="3"/>
        <v>19.134246575342466</v>
      </c>
      <c r="R23" s="14">
        <f t="shared" si="5"/>
        <v>0.99801811351606007</v>
      </c>
      <c r="S23" s="15">
        <f t="shared" si="6"/>
        <v>17.387284096638073</v>
      </c>
      <c r="T23">
        <f t="shared" si="7"/>
        <v>0.53788967621006734</v>
      </c>
      <c r="U23" s="12">
        <f t="shared" si="8"/>
        <v>3.2407955035672599E-2</v>
      </c>
      <c r="V23" s="12"/>
    </row>
    <row r="24" spans="8:22" x14ac:dyDescent="0.25">
      <c r="H24" s="7">
        <f t="shared" si="9"/>
        <v>52550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0.25</v>
      </c>
      <c r="Q24" s="11">
        <f t="shared" si="3"/>
        <v>20.134246575342466</v>
      </c>
      <c r="R24" s="14">
        <f t="shared" si="5"/>
        <v>1.0008717691222007</v>
      </c>
      <c r="S24" s="15">
        <f t="shared" si="6"/>
        <v>18.206244974462095</v>
      </c>
      <c r="T24">
        <f t="shared" si="7"/>
        <v>0.5239491614560311</v>
      </c>
      <c r="U24" s="12">
        <f t="shared" si="8"/>
        <v>3.2102548117270951E-2</v>
      </c>
      <c r="V24" s="12"/>
    </row>
    <row r="25" spans="8:22" x14ac:dyDescent="0.25">
      <c r="H25" s="7">
        <f t="shared" si="9"/>
        <v>52916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0.25</v>
      </c>
      <c r="Q25" s="11">
        <f t="shared" si="3"/>
        <v>21.136986301369863</v>
      </c>
      <c r="R25" s="14">
        <f t="shared" si="5"/>
        <v>1.004309930008056</v>
      </c>
      <c r="S25" s="15">
        <f t="shared" si="6"/>
        <v>19.019127166662965</v>
      </c>
      <c r="T25">
        <f t="shared" si="7"/>
        <v>0.51077336396041972</v>
      </c>
      <c r="U25" s="12">
        <f t="shared" si="8"/>
        <v>3.1784535994670703E-2</v>
      </c>
      <c r="V25" s="12"/>
    </row>
    <row r="26" spans="8:22" x14ac:dyDescent="0.25">
      <c r="H26" s="7">
        <f t="shared" si="9"/>
        <v>53281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0.25</v>
      </c>
      <c r="Q26" s="11">
        <f t="shared" si="3"/>
        <v>22.136986301369863</v>
      </c>
      <c r="R26" s="14">
        <f t="shared" si="5"/>
        <v>1.008351652740985</v>
      </c>
      <c r="S26" s="15">
        <f t="shared" si="6"/>
        <v>19.821572768291645</v>
      </c>
      <c r="T26">
        <f t="shared" si="7"/>
        <v>0.49840616537241467</v>
      </c>
      <c r="U26" s="12">
        <f t="shared" si="8"/>
        <v>3.1455950316616958E-2</v>
      </c>
      <c r="V26" s="12"/>
    </row>
    <row r="27" spans="8:22" x14ac:dyDescent="0.25">
      <c r="H27" s="7">
        <f t="shared" si="9"/>
        <v>53646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0.25</v>
      </c>
      <c r="Q27" s="11">
        <f t="shared" si="3"/>
        <v>23.136986301369863</v>
      </c>
      <c r="R27" s="14">
        <f t="shared" si="5"/>
        <v>1.0130437927391651</v>
      </c>
      <c r="S27" s="15">
        <f t="shared" si="6"/>
        <v>20.615897116727503</v>
      </c>
      <c r="T27">
        <f t="shared" si="7"/>
        <v>0.48678356125613687</v>
      </c>
      <c r="U27" s="12">
        <f t="shared" si="8"/>
        <v>3.1116225685164624E-2</v>
      </c>
      <c r="V27" s="12"/>
    </row>
    <row r="28" spans="8:22" x14ac:dyDescent="0.25">
      <c r="H28" s="7">
        <f t="shared" si="9"/>
        <v>54011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0.25</v>
      </c>
      <c r="Q28" s="11">
        <f t="shared" si="3"/>
        <v>24.136986301369863</v>
      </c>
      <c r="R28" s="14">
        <f t="shared" si="5"/>
        <v>1.0184253432903456</v>
      </c>
      <c r="S28" s="15">
        <f t="shared" si="6"/>
        <v>21.402182404150654</v>
      </c>
      <c r="T28">
        <f t="shared" si="7"/>
        <v>0.47587982214306368</v>
      </c>
      <c r="U28" s="12">
        <f t="shared" si="8"/>
        <v>3.0765644138223823E-2</v>
      </c>
      <c r="V28" s="12"/>
    </row>
    <row r="29" spans="8:22" x14ac:dyDescent="0.25">
      <c r="H29" s="7">
        <f t="shared" si="9"/>
        <v>54377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0.25</v>
      </c>
      <c r="Q29" s="11">
        <f t="shared" si="3"/>
        <v>25.139726027397259</v>
      </c>
      <c r="R29" s="14">
        <f t="shared" si="5"/>
        <v>1.0245540359423337</v>
      </c>
      <c r="S29" s="15">
        <f t="shared" si="6"/>
        <v>22.182631538465891</v>
      </c>
      <c r="T29">
        <f t="shared" si="7"/>
        <v>0.46564342499814854</v>
      </c>
      <c r="U29" s="12">
        <f t="shared" si="8"/>
        <v>3.0403478515732787E-2</v>
      </c>
      <c r="V29" s="12"/>
    </row>
    <row r="30" spans="8:22" x14ac:dyDescent="0.25">
      <c r="H30" s="7">
        <f t="shared" si="9"/>
        <v>54742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>
        <f t="shared" si="4"/>
        <v>0</v>
      </c>
      <c r="O30">
        <f t="shared" si="4"/>
        <v>0.25</v>
      </c>
      <c r="Q30" s="11">
        <f t="shared" si="3"/>
        <v>26.139726027397259</v>
      </c>
      <c r="R30" s="14">
        <f t="shared" si="5"/>
        <v>1.0314376209804275</v>
      </c>
      <c r="S30" s="15">
        <f t="shared" si="6"/>
        <v>22.953060490083807</v>
      </c>
      <c r="T30">
        <f t="shared" si="7"/>
        <v>0.45610705704208349</v>
      </c>
      <c r="U30" s="12">
        <f t="shared" si="8"/>
        <v>3.003197975315483E-2</v>
      </c>
      <c r="V30" s="12"/>
    </row>
    <row r="31" spans="8:22" x14ac:dyDescent="0.25">
      <c r="H31" s="7">
        <f t="shared" si="9"/>
        <v>55107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0.25</v>
      </c>
      <c r="Q31" s="11">
        <f t="shared" si="3"/>
        <v>27.139726027397259</v>
      </c>
      <c r="R31" s="14">
        <f t="shared" si="5"/>
        <v>1.0391344165617631</v>
      </c>
      <c r="S31" s="15">
        <f t="shared" si="6"/>
        <v>23.715692217104216</v>
      </c>
      <c r="T31">
        <f t="shared" si="7"/>
        <v>0.44721993378583547</v>
      </c>
      <c r="U31" s="12">
        <f t="shared" si="8"/>
        <v>2.9650438720975298E-2</v>
      </c>
      <c r="V31" s="12"/>
    </row>
    <row r="32" spans="8:22" x14ac:dyDescent="0.25">
      <c r="H32" s="7">
        <f t="shared" si="9"/>
        <v>55472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0.25</v>
      </c>
      <c r="Q32" s="11">
        <f t="shared" si="3"/>
        <v>28.139726027397259</v>
      </c>
      <c r="R32" s="14">
        <f t="shared" si="5"/>
        <v>1.0476887144737301</v>
      </c>
      <c r="S32" s="15">
        <f t="shared" si="6"/>
        <v>24.470605632334458</v>
      </c>
      <c r="T32">
        <f t="shared" si="7"/>
        <v>0.43896152302056302</v>
      </c>
      <c r="U32" s="12">
        <f t="shared" si="8"/>
        <v>2.9259116304989848E-2</v>
      </c>
      <c r="V32" s="12"/>
    </row>
    <row r="33" spans="4:22" x14ac:dyDescent="0.25">
      <c r="H33" s="7">
        <f t="shared" si="9"/>
        <v>55838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100.25</v>
      </c>
      <c r="Q33" s="11">
        <f t="shared" si="3"/>
        <v>29.142465753424659</v>
      </c>
      <c r="R33" s="14">
        <f t="shared" si="5"/>
        <v>1.0571739757489262</v>
      </c>
      <c r="S33" s="15">
        <f t="shared" si="6"/>
        <v>25.219915750205629</v>
      </c>
      <c r="T33">
        <f t="shared" si="7"/>
        <v>0.4312925203090221</v>
      </c>
      <c r="U33" s="12">
        <f t="shared" si="8"/>
        <v>2.885715727675393E-2</v>
      </c>
      <c r="V33" s="12"/>
    </row>
    <row r="35" spans="4:22" x14ac:dyDescent="0.25">
      <c r="H35" t="s">
        <v>97</v>
      </c>
      <c r="I35" cm="1">
        <f t="array" ref="I35:O35">TRANSPOSE(C4:C10)</f>
        <v>96.38</v>
      </c>
      <c r="J35">
        <v>97.13</v>
      </c>
      <c r="K35">
        <v>99.35</v>
      </c>
      <c r="L35">
        <v>90.54</v>
      </c>
      <c r="M35">
        <v>86</v>
      </c>
      <c r="N35">
        <v>92.4</v>
      </c>
      <c r="O35">
        <v>46.4</v>
      </c>
    </row>
    <row r="36" spans="4:22" x14ac:dyDescent="0.25">
      <c r="H36" t="s">
        <v>56</v>
      </c>
      <c r="I36">
        <f t="shared" ref="I36:O36" si="10">SUMPRODUCT(I4:I33,$T$4:$T$33)</f>
        <v>96.08749543852079</v>
      </c>
      <c r="J36">
        <f t="shared" si="10"/>
        <v>97.787694167627862</v>
      </c>
      <c r="K36">
        <f t="shared" si="10"/>
        <v>98.025391966935715</v>
      </c>
      <c r="L36">
        <f t="shared" si="10"/>
        <v>88.75287241462118</v>
      </c>
      <c r="M36">
        <f t="shared" si="10"/>
        <v>83.760660957800155</v>
      </c>
      <c r="N36">
        <f t="shared" si="10"/>
        <v>91.262155154340178</v>
      </c>
      <c r="O36">
        <f t="shared" si="10"/>
        <v>47.987578079581581</v>
      </c>
    </row>
    <row r="37" spans="4:22" x14ac:dyDescent="0.25">
      <c r="H37" t="s">
        <v>57</v>
      </c>
      <c r="I37">
        <f>(I35-I36)^2</f>
        <v>8.5558918486142277E-2</v>
      </c>
      <c r="J37">
        <f t="shared" ref="J37:O37" si="11">(J35-J36)^2</f>
        <v>0.43256161813171212</v>
      </c>
      <c r="K37">
        <f t="shared" si="11"/>
        <v>1.75458644125842</v>
      </c>
      <c r="L37">
        <f t="shared" si="11"/>
        <v>3.1938250064219535</v>
      </c>
      <c r="M37">
        <f t="shared" si="11"/>
        <v>5.0146393459205179</v>
      </c>
      <c r="N37">
        <f t="shared" si="11"/>
        <v>1.2946908927946374</v>
      </c>
      <c r="O37">
        <f t="shared" si="11"/>
        <v>2.5204041587679464</v>
      </c>
    </row>
    <row r="39" spans="4:22" x14ac:dyDescent="0.25">
      <c r="H39" t="s">
        <v>74</v>
      </c>
      <c r="I39">
        <f>SUM(I37:O37)</f>
        <v>14.296266381781329</v>
      </c>
      <c r="U39" s="1">
        <f>AVERAGE(U4:U33)</f>
        <v>3.3122982207534894E-2</v>
      </c>
    </row>
    <row r="43" spans="4:22" x14ac:dyDescent="0.25">
      <c r="D43" s="7"/>
      <c r="K43" s="3"/>
    </row>
    <row r="44" spans="4:22" x14ac:dyDescent="0.25">
      <c r="D44" s="7"/>
      <c r="K44" s="3"/>
    </row>
    <row r="45" spans="4:22" x14ac:dyDescent="0.25">
      <c r="D45" s="7"/>
      <c r="K45" s="3"/>
    </row>
    <row r="46" spans="4:22" x14ac:dyDescent="0.25">
      <c r="D46" s="7"/>
      <c r="K46" s="3"/>
    </row>
    <row r="47" spans="4:22" x14ac:dyDescent="0.25">
      <c r="D47" s="7"/>
      <c r="K47" s="3"/>
    </row>
    <row r="48" spans="4:22" x14ac:dyDescent="0.25">
      <c r="D48" s="7"/>
      <c r="K48" s="3"/>
    </row>
    <row r="49" spans="4:11" x14ac:dyDescent="0.25">
      <c r="D49" s="7"/>
      <c r="K49" s="3"/>
    </row>
  </sheetData>
  <autoFilter ref="A3:F10" xr:uid="{3123E469-286C-43A5-8CF5-131E56FEC6E0}">
    <sortState xmlns:xlrd2="http://schemas.microsoft.com/office/spreadsheetml/2017/richdata2" ref="A4:F10">
      <sortCondition ref="D3:D1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43C0-28C4-4E6C-8E85-F24635962AAD}">
  <dimension ref="A1:X49"/>
  <sheetViews>
    <sheetView topLeftCell="B1" workbookViewId="0">
      <selection activeCell="U39" sqref="U39"/>
    </sheetView>
  </sheetViews>
  <sheetFormatPr defaultRowHeight="15" x14ac:dyDescent="0.25"/>
  <cols>
    <col min="1" max="1" width="13.5703125" bestFit="1" customWidth="1"/>
    <col min="2" max="2" width="11.5703125" bestFit="1" customWidth="1"/>
    <col min="4" max="4" width="10.42578125" bestFit="1" customWidth="1"/>
    <col min="6" max="6" width="19.42578125" bestFit="1" customWidth="1"/>
    <col min="8" max="8" width="10.42578125" bestFit="1" customWidth="1"/>
    <col min="9" max="15" width="13.5703125" bestFit="1" customWidth="1"/>
    <col min="24" max="24" width="10.140625" bestFit="1" customWidth="1"/>
  </cols>
  <sheetData>
    <row r="1" spans="1:24" x14ac:dyDescent="0.25">
      <c r="A1" t="s">
        <v>27</v>
      </c>
      <c r="B1" s="7">
        <v>45201</v>
      </c>
      <c r="H1" t="s">
        <v>28</v>
      </c>
      <c r="I1" s="8" cm="1">
        <f t="array" ref="I1:O1">TRANSPOSE(B4:B10)</f>
        <v>0</v>
      </c>
      <c r="J1" s="8">
        <v>1.7500000000000002E-2</v>
      </c>
      <c r="K1" s="8">
        <v>2.2499999999999999E-2</v>
      </c>
      <c r="L1" s="8">
        <v>5.0000000000000001E-3</v>
      </c>
      <c r="M1" s="8">
        <v>5.0000000000000001E-3</v>
      </c>
      <c r="N1" s="8">
        <v>2.2499999999999999E-2</v>
      </c>
      <c r="O1" s="8">
        <v>2.5000000000000001E-3</v>
      </c>
      <c r="X1" t="s">
        <v>72</v>
      </c>
    </row>
    <row r="2" spans="1:24" x14ac:dyDescent="0.25">
      <c r="H2" t="s">
        <v>25</v>
      </c>
      <c r="I2" s="7" cm="1">
        <f t="array" ref="I2:O2">TRANSPOSE(D4:D10)</f>
        <v>45611</v>
      </c>
      <c r="J2" s="7">
        <v>45976</v>
      </c>
      <c r="K2" s="7">
        <v>46341</v>
      </c>
      <c r="L2" s="7">
        <v>46706</v>
      </c>
      <c r="M2" s="7">
        <v>47437</v>
      </c>
      <c r="N2" s="7">
        <v>48898</v>
      </c>
      <c r="O2" s="7">
        <v>55838</v>
      </c>
      <c r="Q2" t="s">
        <v>31</v>
      </c>
      <c r="W2" t="s">
        <v>64</v>
      </c>
      <c r="X2" s="13">
        <v>1.0172189450599899E-2</v>
      </c>
    </row>
    <row r="3" spans="1:24" x14ac:dyDescent="0.25">
      <c r="A3" t="s">
        <v>33</v>
      </c>
      <c r="B3" t="s">
        <v>26</v>
      </c>
      <c r="C3" s="10" t="s">
        <v>34</v>
      </c>
      <c r="D3" t="s">
        <v>35</v>
      </c>
      <c r="E3" t="s">
        <v>36</v>
      </c>
      <c r="F3" t="s">
        <v>37</v>
      </c>
      <c r="H3" t="s">
        <v>38</v>
      </c>
      <c r="I3" t="str" cm="1">
        <f t="array" ref="I3:O3">TRANSPOSE(A4:A10)</f>
        <v>DK0009924292</v>
      </c>
      <c r="J3" t="str">
        <v>DK0009923138</v>
      </c>
      <c r="K3" t="str">
        <v>DK0009924888</v>
      </c>
      <c r="L3" t="str">
        <v>DK0009923567</v>
      </c>
      <c r="M3" t="str">
        <v>DK0009923807</v>
      </c>
      <c r="N3" t="str">
        <v>DK0009924532</v>
      </c>
      <c r="O3" t="str">
        <v>DK0009924029</v>
      </c>
      <c r="Q3" t="s">
        <v>6</v>
      </c>
      <c r="R3" t="s">
        <v>70</v>
      </c>
      <c r="S3" t="s">
        <v>71</v>
      </c>
      <c r="T3" t="s">
        <v>40</v>
      </c>
      <c r="U3" t="s">
        <v>39</v>
      </c>
      <c r="W3" t="s">
        <v>65</v>
      </c>
      <c r="X3" s="13">
        <v>3.4221073094520403E-2</v>
      </c>
    </row>
    <row r="4" spans="1:24" x14ac:dyDescent="0.25">
      <c r="A4" t="s">
        <v>42</v>
      </c>
      <c r="B4" s="12">
        <v>0</v>
      </c>
      <c r="C4" s="4">
        <v>96.38</v>
      </c>
      <c r="D4" s="7">
        <v>45611</v>
      </c>
      <c r="E4" s="6">
        <f t="shared" ref="E4:E10" si="0">(1-($H$4-$B$1)/365)*B4*100</f>
        <v>0</v>
      </c>
      <c r="F4" s="6">
        <f t="shared" ref="F4:F10" si="1">C4+E4</f>
        <v>96.38</v>
      </c>
      <c r="H4" s="7">
        <v>45245</v>
      </c>
      <c r="I4">
        <f>IF($H4&gt;I$2,0,IF($H4=I$2,1+I$1,I$1)*100)</f>
        <v>0</v>
      </c>
      <c r="J4">
        <f t="shared" ref="J4:O19" si="2">IF($H4&gt;J$2,0,IF($H4=J$2,1+J$1,J$1)*100)</f>
        <v>1.7500000000000002</v>
      </c>
      <c r="K4">
        <f t="shared" si="2"/>
        <v>2.25</v>
      </c>
      <c r="L4">
        <f t="shared" si="2"/>
        <v>0.5</v>
      </c>
      <c r="M4">
        <f t="shared" si="2"/>
        <v>0.5</v>
      </c>
      <c r="N4">
        <f t="shared" si="2"/>
        <v>2.25</v>
      </c>
      <c r="O4">
        <f t="shared" si="2"/>
        <v>0.25</v>
      </c>
      <c r="Q4" s="11">
        <f t="shared" ref="Q4:Q33" si="3">(H4-$B$1)/365</f>
        <v>0.12054794520547946</v>
      </c>
      <c r="R4" s="14">
        <f>((2*$X$6*EXP(($X$2+$X$6)*Q4/2))/(2*$X$6+($X$2+$X$6)*(EXP($X$6*Q4)-1)))^((2*$X$2*$X$3)/$X$4^2)</f>
        <v>0.9999974717570741</v>
      </c>
      <c r="S4" s="15">
        <f>(2*(EXP($X$6*Q4)-1))/(2*$X$6+($X$2+$X$6)*(EXP($X$6*Q4)-1))</f>
        <v>0.12047359658772855</v>
      </c>
      <c r="T4">
        <f>R4*EXP(-S4*$X$5)</f>
        <v>0.99572380446780007</v>
      </c>
      <c r="U4" s="12">
        <f>-1/Q4*LN(T4)</f>
        <v>3.5549047289947774E-2</v>
      </c>
      <c r="V4" s="12"/>
      <c r="W4" t="s">
        <v>66</v>
      </c>
      <c r="X4" s="13">
        <v>4.0090129833828703E-2</v>
      </c>
    </row>
    <row r="5" spans="1:24" x14ac:dyDescent="0.25">
      <c r="A5" t="s">
        <v>44</v>
      </c>
      <c r="B5" s="12">
        <v>1.7500000000000002E-2</v>
      </c>
      <c r="C5" s="4">
        <v>97.13</v>
      </c>
      <c r="D5" s="7">
        <v>45976</v>
      </c>
      <c r="E5" s="6">
        <f t="shared" si="0"/>
        <v>1.5390410958904113</v>
      </c>
      <c r="F5" s="6">
        <f t="shared" si="1"/>
        <v>98.669041095890407</v>
      </c>
      <c r="H5" s="7">
        <f>DATE(YEAR(H4)+1,MONTH(H4),DAY(H4))</f>
        <v>45611</v>
      </c>
      <c r="I5">
        <f t="shared" ref="I5:O33" si="4">IF($H5&gt;I$2,0,IF($H5=I$2,1+I$1,I$1)*100)</f>
        <v>100</v>
      </c>
      <c r="J5">
        <f t="shared" si="2"/>
        <v>1.7500000000000002</v>
      </c>
      <c r="K5">
        <f t="shared" si="2"/>
        <v>2.25</v>
      </c>
      <c r="L5">
        <f t="shared" si="2"/>
        <v>0.5</v>
      </c>
      <c r="M5">
        <f t="shared" si="2"/>
        <v>0.5</v>
      </c>
      <c r="N5">
        <f t="shared" si="2"/>
        <v>2.25</v>
      </c>
      <c r="O5">
        <f t="shared" si="2"/>
        <v>0.25</v>
      </c>
      <c r="Q5" s="11">
        <f t="shared" si="3"/>
        <v>1.1232876712328768</v>
      </c>
      <c r="R5" s="14">
        <f t="shared" ref="R5:R33" si="5">((2*$X$6*EXP(($X$2+$X$6)*Q5/2))/(2*$X$6+($X$2+$X$6)*(EXP($X$6*Q5)-1)))^((2*$X$2*$X$3)/$X$4^2)</f>
        <v>0.99978128074771133</v>
      </c>
      <c r="S5" s="15">
        <f t="shared" ref="S5:S33" si="6">(2*(EXP($X$6*Q5)-1))/(2*$X$6+($X$2+$X$6)*(EXP($X$6*Q5)-1))</f>
        <v>1.1165193370571498</v>
      </c>
      <c r="T5">
        <f t="shared" ref="T5:T33" si="7">R5*EXP(-S5*$X$5)</f>
        <v>0.96087494782989546</v>
      </c>
      <c r="U5" s="12">
        <f t="shared" ref="U5:U33" si="8">-1/Q5*LN(T5)</f>
        <v>3.5530529382032244E-2</v>
      </c>
      <c r="V5" s="12"/>
      <c r="W5" t="s">
        <v>69</v>
      </c>
      <c r="X5" s="13">
        <v>3.5549999999999998E-2</v>
      </c>
    </row>
    <row r="6" spans="1:24" x14ac:dyDescent="0.25">
      <c r="A6" t="s">
        <v>46</v>
      </c>
      <c r="B6" s="12">
        <v>2.2499999999999999E-2</v>
      </c>
      <c r="C6" s="4">
        <v>99.35</v>
      </c>
      <c r="D6" s="7">
        <v>46341</v>
      </c>
      <c r="E6" s="6">
        <f t="shared" si="0"/>
        <v>1.9787671232876713</v>
      </c>
      <c r="F6" s="6">
        <f t="shared" si="1"/>
        <v>101.32876712328766</v>
      </c>
      <c r="H6" s="7">
        <f t="shared" ref="H6:H33" si="9">DATE(YEAR(H5)+1,MONTH(H5),DAY(H5))</f>
        <v>45976</v>
      </c>
      <c r="I6">
        <f t="shared" si="4"/>
        <v>0</v>
      </c>
      <c r="J6">
        <f t="shared" si="2"/>
        <v>101.75</v>
      </c>
      <c r="K6">
        <f t="shared" si="2"/>
        <v>2.25</v>
      </c>
      <c r="L6">
        <f t="shared" si="2"/>
        <v>0.5</v>
      </c>
      <c r="M6">
        <f t="shared" si="2"/>
        <v>0.5</v>
      </c>
      <c r="N6">
        <f t="shared" si="2"/>
        <v>2.25</v>
      </c>
      <c r="O6">
        <f t="shared" si="2"/>
        <v>0.25</v>
      </c>
      <c r="Q6" s="11">
        <f t="shared" si="3"/>
        <v>2.1232876712328768</v>
      </c>
      <c r="R6" s="14">
        <f t="shared" si="5"/>
        <v>0.99922170154920364</v>
      </c>
      <c r="S6" s="15">
        <f t="shared" si="6"/>
        <v>2.0980161087184079</v>
      </c>
      <c r="T6">
        <f t="shared" si="7"/>
        <v>0.9274067077949063</v>
      </c>
      <c r="U6" s="12">
        <f t="shared" si="8"/>
        <v>3.5493576856431619E-2</v>
      </c>
      <c r="V6" s="12"/>
      <c r="W6" t="s">
        <v>73</v>
      </c>
      <c r="X6">
        <f>SQRT(X2^2+2*X4^2)</f>
        <v>5.7601306047739755E-2</v>
      </c>
    </row>
    <row r="7" spans="1:24" x14ac:dyDescent="0.25">
      <c r="A7" t="s">
        <v>48</v>
      </c>
      <c r="B7" s="12">
        <v>5.0000000000000001E-3</v>
      </c>
      <c r="C7" s="4">
        <v>90.54</v>
      </c>
      <c r="D7" s="7">
        <v>46706</v>
      </c>
      <c r="E7" s="6">
        <f t="shared" si="0"/>
        <v>0.43972602739726036</v>
      </c>
      <c r="F7" s="6">
        <f t="shared" si="1"/>
        <v>90.979726027397263</v>
      </c>
      <c r="H7" s="7">
        <f t="shared" si="9"/>
        <v>46341</v>
      </c>
      <c r="I7">
        <f t="shared" si="4"/>
        <v>0</v>
      </c>
      <c r="J7">
        <f t="shared" si="2"/>
        <v>0</v>
      </c>
      <c r="K7">
        <f t="shared" si="2"/>
        <v>102.25</v>
      </c>
      <c r="L7">
        <f t="shared" si="2"/>
        <v>0.5</v>
      </c>
      <c r="M7">
        <f t="shared" si="2"/>
        <v>0.5</v>
      </c>
      <c r="N7">
        <f t="shared" si="2"/>
        <v>2.25</v>
      </c>
      <c r="O7">
        <f t="shared" si="2"/>
        <v>0.25</v>
      </c>
      <c r="Q7" s="11">
        <f t="shared" si="3"/>
        <v>3.1232876712328768</v>
      </c>
      <c r="R7" s="14">
        <f t="shared" si="5"/>
        <v>0.99832354327010786</v>
      </c>
      <c r="S7" s="15">
        <f t="shared" si="6"/>
        <v>3.0663123757964326</v>
      </c>
      <c r="T7">
        <f t="shared" si="7"/>
        <v>0.89522045865908095</v>
      </c>
      <c r="U7" s="12">
        <f t="shared" si="8"/>
        <v>3.543870439314651E-2</v>
      </c>
      <c r="V7" s="12"/>
    </row>
    <row r="8" spans="1:24" x14ac:dyDescent="0.25">
      <c r="A8" t="s">
        <v>50</v>
      </c>
      <c r="B8" s="12">
        <v>5.0000000000000001E-3</v>
      </c>
      <c r="C8" s="4">
        <v>86</v>
      </c>
      <c r="D8" s="7">
        <v>47437</v>
      </c>
      <c r="E8" s="6">
        <f t="shared" si="0"/>
        <v>0.43972602739726036</v>
      </c>
      <c r="F8" s="6">
        <f t="shared" si="1"/>
        <v>86.439726027397256</v>
      </c>
      <c r="H8" s="7">
        <f t="shared" si="9"/>
        <v>46706</v>
      </c>
      <c r="I8">
        <f t="shared" si="4"/>
        <v>0</v>
      </c>
      <c r="J8">
        <f t="shared" si="2"/>
        <v>0</v>
      </c>
      <c r="K8">
        <f t="shared" si="2"/>
        <v>0</v>
      </c>
      <c r="L8">
        <f t="shared" si="2"/>
        <v>100.49999999999999</v>
      </c>
      <c r="M8">
        <f t="shared" si="2"/>
        <v>0.5</v>
      </c>
      <c r="N8">
        <f t="shared" si="2"/>
        <v>2.25</v>
      </c>
      <c r="O8">
        <f t="shared" si="2"/>
        <v>0.25</v>
      </c>
      <c r="Q8" s="11">
        <f t="shared" si="3"/>
        <v>4.1232876712328768</v>
      </c>
      <c r="R8" s="14">
        <f t="shared" si="5"/>
        <v>0.99709253065603298</v>
      </c>
      <c r="S8" s="15">
        <f t="shared" si="6"/>
        <v>4.0201005098529192</v>
      </c>
      <c r="T8">
        <f t="shared" si="7"/>
        <v>0.86430783997532745</v>
      </c>
      <c r="U8" s="12">
        <f t="shared" si="8"/>
        <v>3.5366505807047199E-2</v>
      </c>
      <c r="V8" s="12"/>
    </row>
    <row r="9" spans="1:24" x14ac:dyDescent="0.25">
      <c r="A9" t="s">
        <v>52</v>
      </c>
      <c r="B9" s="12">
        <v>2.2499999999999999E-2</v>
      </c>
      <c r="C9" s="4">
        <v>92.4</v>
      </c>
      <c r="D9" s="7">
        <v>48898</v>
      </c>
      <c r="E9" s="6">
        <f t="shared" si="0"/>
        <v>1.9787671232876713</v>
      </c>
      <c r="F9" s="6">
        <f t="shared" si="1"/>
        <v>94.378767123287673</v>
      </c>
      <c r="H9" s="7">
        <f t="shared" si="9"/>
        <v>47072</v>
      </c>
      <c r="I9">
        <f t="shared" si="4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0.5</v>
      </c>
      <c r="N9">
        <f t="shared" si="2"/>
        <v>2.25</v>
      </c>
      <c r="O9">
        <f t="shared" si="2"/>
        <v>0.25</v>
      </c>
      <c r="Q9" s="11">
        <f t="shared" si="3"/>
        <v>5.1260273972602741</v>
      </c>
      <c r="R9" s="14">
        <f t="shared" si="5"/>
        <v>0.99553043049124179</v>
      </c>
      <c r="S9" s="15">
        <f t="shared" si="6"/>
        <v>4.9607064593976293</v>
      </c>
      <c r="T9">
        <f t="shared" si="7"/>
        <v>0.83457496929876207</v>
      </c>
      <c r="U9" s="12">
        <f t="shared" si="8"/>
        <v>3.5277357788969295E-2</v>
      </c>
      <c r="V9" s="12"/>
    </row>
    <row r="10" spans="1:24" x14ac:dyDescent="0.25">
      <c r="A10" t="s">
        <v>54</v>
      </c>
      <c r="B10" s="12">
        <v>2.5000000000000001E-3</v>
      </c>
      <c r="C10" s="4">
        <v>46.4</v>
      </c>
      <c r="D10" s="7">
        <v>55838</v>
      </c>
      <c r="E10" s="6">
        <f t="shared" si="0"/>
        <v>0.21986301369863018</v>
      </c>
      <c r="F10" s="6">
        <f t="shared" si="1"/>
        <v>46.619863013698627</v>
      </c>
      <c r="H10" s="7">
        <f t="shared" si="9"/>
        <v>47437</v>
      </c>
      <c r="I10">
        <f t="shared" si="4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100.49999999999999</v>
      </c>
      <c r="N10">
        <f t="shared" si="2"/>
        <v>2.25</v>
      </c>
      <c r="O10">
        <f t="shared" si="2"/>
        <v>0.25</v>
      </c>
      <c r="Q10" s="11">
        <f t="shared" si="3"/>
        <v>6.1260273972602741</v>
      </c>
      <c r="R10" s="14">
        <f t="shared" si="5"/>
        <v>0.9936529696111146</v>
      </c>
      <c r="S10" s="15">
        <f t="shared" si="6"/>
        <v>5.881857627291919</v>
      </c>
      <c r="T10">
        <f t="shared" si="7"/>
        <v>0.8061646337694881</v>
      </c>
      <c r="U10" s="12">
        <f t="shared" si="8"/>
        <v>3.5172434450790636E-2</v>
      </c>
      <c r="V10" s="12"/>
    </row>
    <row r="11" spans="1:24" x14ac:dyDescent="0.25">
      <c r="B11" s="8"/>
      <c r="C11" s="4"/>
      <c r="D11" s="7"/>
      <c r="H11" s="7">
        <f t="shared" si="9"/>
        <v>47802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2.25</v>
      </c>
      <c r="O11">
        <f t="shared" si="2"/>
        <v>0.25</v>
      </c>
      <c r="Q11" s="11">
        <f t="shared" si="3"/>
        <v>7.1260273972602741</v>
      </c>
      <c r="R11" s="14">
        <f t="shared" si="5"/>
        <v>0.99146414092986623</v>
      </c>
      <c r="S11" s="15">
        <f t="shared" si="6"/>
        <v>6.785111206405408</v>
      </c>
      <c r="T11">
        <f t="shared" si="7"/>
        <v>0.77896964417834591</v>
      </c>
      <c r="U11" s="12">
        <f t="shared" si="8"/>
        <v>3.5052237049399179E-2</v>
      </c>
      <c r="V11" s="12"/>
    </row>
    <row r="12" spans="1:24" x14ac:dyDescent="0.25">
      <c r="B12" s="8"/>
      <c r="C12" s="4"/>
      <c r="D12" s="7"/>
      <c r="H12" s="7">
        <f t="shared" si="9"/>
        <v>48167</v>
      </c>
      <c r="I12">
        <f t="shared" si="4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2.25</v>
      </c>
      <c r="O12">
        <f t="shared" si="2"/>
        <v>0.25</v>
      </c>
      <c r="Q12" s="11">
        <f t="shared" si="3"/>
        <v>8.1260273972602732</v>
      </c>
      <c r="R12" s="14">
        <f t="shared" si="5"/>
        <v>0.98897234438531401</v>
      </c>
      <c r="S12" s="15">
        <f t="shared" si="6"/>
        <v>7.6695302953487436</v>
      </c>
      <c r="T12">
        <f t="shared" si="7"/>
        <v>0.75296185264762872</v>
      </c>
      <c r="U12" s="12">
        <f t="shared" si="8"/>
        <v>3.491751862117904E-2</v>
      </c>
      <c r="V12" s="12"/>
    </row>
    <row r="13" spans="1:24" x14ac:dyDescent="0.25">
      <c r="H13" s="7">
        <f t="shared" si="9"/>
        <v>48533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2.25</v>
      </c>
      <c r="O13">
        <f t="shared" si="2"/>
        <v>0.25</v>
      </c>
      <c r="Q13" s="11">
        <f t="shared" si="3"/>
        <v>9.1287671232876715</v>
      </c>
      <c r="R13" s="14">
        <f t="shared" si="5"/>
        <v>0.98617847446209239</v>
      </c>
      <c r="S13" s="15">
        <f t="shared" si="6"/>
        <v>8.5366191998748064</v>
      </c>
      <c r="T13">
        <f t="shared" si="7"/>
        <v>0.72804330713434129</v>
      </c>
      <c r="U13" s="12">
        <f t="shared" si="8"/>
        <v>3.4768632001051222E-2</v>
      </c>
      <c r="V13" s="12"/>
    </row>
    <row r="14" spans="1:24" x14ac:dyDescent="0.25">
      <c r="H14" s="7">
        <f t="shared" si="9"/>
        <v>48898</v>
      </c>
      <c r="I14">
        <f t="shared" si="4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102.25</v>
      </c>
      <c r="O14">
        <f t="shared" si="2"/>
        <v>0.25</v>
      </c>
      <c r="Q14" s="11">
        <f t="shared" si="3"/>
        <v>10.128767123287671</v>
      </c>
      <c r="R14" s="14">
        <f t="shared" si="5"/>
        <v>0.98310720329783219</v>
      </c>
      <c r="S14" s="15">
        <f t="shared" si="6"/>
        <v>9.3809015859511824</v>
      </c>
      <c r="T14">
        <f t="shared" si="7"/>
        <v>0.70431600070887834</v>
      </c>
      <c r="U14" s="12">
        <f t="shared" si="8"/>
        <v>3.4607189070867191E-2</v>
      </c>
      <c r="V14" s="12"/>
    </row>
    <row r="15" spans="1:24" x14ac:dyDescent="0.25">
      <c r="H15" s="7">
        <f t="shared" si="9"/>
        <v>49263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0.25</v>
      </c>
      <c r="Q15" s="11">
        <f t="shared" si="3"/>
        <v>11.128767123287671</v>
      </c>
      <c r="R15" s="14">
        <f t="shared" si="5"/>
        <v>0.97976107880969021</v>
      </c>
      <c r="S15" s="15">
        <f t="shared" si="6"/>
        <v>10.204137910572486</v>
      </c>
      <c r="T15">
        <f t="shared" si="7"/>
        <v>0.68167407116016265</v>
      </c>
      <c r="U15" s="12">
        <f t="shared" si="8"/>
        <v>3.4433610897725932E-2</v>
      </c>
      <c r="V15" s="12"/>
    </row>
    <row r="16" spans="1:24" x14ac:dyDescent="0.25">
      <c r="H16" s="7">
        <f t="shared" si="9"/>
        <v>49628</v>
      </c>
      <c r="I16">
        <f t="shared" si="4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0.25</v>
      </c>
      <c r="Q16" s="11">
        <f t="shared" si="3"/>
        <v>12.128767123287671</v>
      </c>
      <c r="R16" s="14">
        <f t="shared" si="5"/>
        <v>0.97615022075310454</v>
      </c>
      <c r="S16" s="15">
        <f t="shared" si="6"/>
        <v>11.005791533617112</v>
      </c>
      <c r="T16">
        <f t="shared" si="7"/>
        <v>0.66007970986804709</v>
      </c>
      <c r="U16" s="12">
        <f t="shared" si="8"/>
        <v>3.4248714193643268E-2</v>
      </c>
      <c r="V16" s="12"/>
    </row>
    <row r="17" spans="8:22" x14ac:dyDescent="0.25">
      <c r="H17" s="7">
        <f t="shared" si="9"/>
        <v>49994</v>
      </c>
      <c r="I17">
        <f t="shared" si="4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0.25</v>
      </c>
      <c r="Q17" s="11">
        <f t="shared" si="3"/>
        <v>13.131506849315068</v>
      </c>
      <c r="R17" s="14">
        <f t="shared" si="5"/>
        <v>0.97227409579906809</v>
      </c>
      <c r="S17" s="15">
        <f t="shared" si="6"/>
        <v>11.787528618593168</v>
      </c>
      <c r="T17">
        <f t="shared" si="7"/>
        <v>0.63943892610130226</v>
      </c>
      <c r="U17" s="12">
        <f t="shared" si="8"/>
        <v>3.4052768675616955E-2</v>
      </c>
      <c r="V17" s="12"/>
    </row>
    <row r="18" spans="8:22" x14ac:dyDescent="0.25">
      <c r="H18" s="7">
        <f t="shared" si="9"/>
        <v>50359</v>
      </c>
      <c r="I18">
        <f t="shared" si="4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0.25</v>
      </c>
      <c r="Q18" s="11">
        <f t="shared" si="3"/>
        <v>14.131506849315068</v>
      </c>
      <c r="R18" s="14">
        <f t="shared" si="5"/>
        <v>0.96816452228956562</v>
      </c>
      <c r="S18" s="15">
        <f t="shared" si="6"/>
        <v>12.54473226721225</v>
      </c>
      <c r="T18">
        <f t="shared" si="7"/>
        <v>0.61982476548681553</v>
      </c>
      <c r="U18" s="12">
        <f t="shared" si="8"/>
        <v>3.3847662694721115E-2</v>
      </c>
      <c r="V18" s="12"/>
    </row>
    <row r="19" spans="8:22" x14ac:dyDescent="0.25">
      <c r="H19" s="7">
        <f t="shared" si="9"/>
        <v>50724</v>
      </c>
      <c r="I19">
        <f t="shared" si="4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0.25</v>
      </c>
      <c r="Q19" s="11">
        <f t="shared" si="3"/>
        <v>15.131506849315068</v>
      </c>
      <c r="R19" s="14">
        <f t="shared" si="5"/>
        <v>0.96382202619568147</v>
      </c>
      <c r="S19" s="15">
        <f t="shared" si="6"/>
        <v>13.279315995360287</v>
      </c>
      <c r="T19">
        <f t="shared" si="7"/>
        <v>0.60113947178026095</v>
      </c>
      <c r="U19" s="12">
        <f t="shared" si="8"/>
        <v>3.3633683032899091E-2</v>
      </c>
      <c r="V19" s="12"/>
    </row>
    <row r="20" spans="8:22" x14ac:dyDescent="0.25">
      <c r="H20" s="7">
        <f t="shared" si="9"/>
        <v>51089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0.25</v>
      </c>
      <c r="Q20" s="11">
        <f t="shared" si="3"/>
        <v>16.13150684931507</v>
      </c>
      <c r="R20" s="14">
        <f t="shared" si="5"/>
        <v>0.95925748516185827</v>
      </c>
      <c r="S20" s="15">
        <f t="shared" si="6"/>
        <v>13.991114686846444</v>
      </c>
      <c r="T20">
        <f t="shared" si="7"/>
        <v>0.58334303242122176</v>
      </c>
      <c r="U20" s="12">
        <f t="shared" si="8"/>
        <v>3.3411626012233943E-2</v>
      </c>
      <c r="V20" s="12"/>
    </row>
    <row r="21" spans="8:22" x14ac:dyDescent="0.25">
      <c r="H21" s="7">
        <f t="shared" si="9"/>
        <v>51455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0.25</v>
      </c>
      <c r="Q21" s="11">
        <f t="shared" si="3"/>
        <v>17.134246575342466</v>
      </c>
      <c r="R21" s="14">
        <f t="shared" si="5"/>
        <v>0.95446846564837762</v>
      </c>
      <c r="S21" s="15">
        <f t="shared" si="6"/>
        <v>14.681902548045613</v>
      </c>
      <c r="T21">
        <f t="shared" si="7"/>
        <v>0.56635040087947819</v>
      </c>
      <c r="U21" s="12">
        <f t="shared" si="8"/>
        <v>3.318163462897266E-2</v>
      </c>
      <c r="V21" s="12"/>
    </row>
    <row r="22" spans="8:22" x14ac:dyDescent="0.25">
      <c r="H22" s="7">
        <f t="shared" si="9"/>
        <v>51820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0.25</v>
      </c>
      <c r="Q22" s="11">
        <f t="shared" si="3"/>
        <v>18.134246575342466</v>
      </c>
      <c r="R22" s="14">
        <f t="shared" si="5"/>
        <v>0.94949209638089838</v>
      </c>
      <c r="S22" s="15">
        <f t="shared" si="6"/>
        <v>15.34790157342664</v>
      </c>
      <c r="T22">
        <f t="shared" si="7"/>
        <v>0.55021510694525022</v>
      </c>
      <c r="U22" s="12">
        <f t="shared" si="8"/>
        <v>3.2945729021475592E-2</v>
      </c>
      <c r="V22" s="12"/>
    </row>
    <row r="23" spans="8:22" x14ac:dyDescent="0.25">
      <c r="H23" s="7">
        <f t="shared" si="9"/>
        <v>52185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0.25</v>
      </c>
      <c r="Q23" s="11">
        <f t="shared" si="3"/>
        <v>19.134246575342466</v>
      </c>
      <c r="R23" s="14">
        <f t="shared" si="5"/>
        <v>0.94432646920562091</v>
      </c>
      <c r="S23" s="15">
        <f t="shared" si="6"/>
        <v>15.991100914975135</v>
      </c>
      <c r="T23">
        <f t="shared" si="7"/>
        <v>0.53485105424462553</v>
      </c>
      <c r="U23" s="12">
        <f t="shared" si="8"/>
        <v>3.2704030005288674E-2</v>
      </c>
      <c r="V23" s="12"/>
    </row>
    <row r="24" spans="8:22" x14ac:dyDescent="0.25">
      <c r="H24" s="7">
        <f t="shared" si="9"/>
        <v>52550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0.25</v>
      </c>
      <c r="Q24" s="11">
        <f t="shared" si="3"/>
        <v>20.134246575342466</v>
      </c>
      <c r="R24" s="14">
        <f t="shared" si="5"/>
        <v>0.93898239268583839</v>
      </c>
      <c r="S24" s="15">
        <f t="shared" si="6"/>
        <v>16.611639249054399</v>
      </c>
      <c r="T24">
        <f t="shared" si="7"/>
        <v>0.52022060010977134</v>
      </c>
      <c r="U24" s="12">
        <f t="shared" si="8"/>
        <v>3.2457252569220586E-2</v>
      </c>
      <c r="V24" s="12"/>
    </row>
    <row r="25" spans="8:22" x14ac:dyDescent="0.25">
      <c r="H25" s="7">
        <f t="shared" si="9"/>
        <v>52916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0.25</v>
      </c>
      <c r="Q25" s="11">
        <f t="shared" si="3"/>
        <v>21.136986301369863</v>
      </c>
      <c r="R25" s="14">
        <f t="shared" si="5"/>
        <v>0.93345523138352093</v>
      </c>
      <c r="S25" s="15">
        <f t="shared" si="6"/>
        <v>17.211326089998927</v>
      </c>
      <c r="T25">
        <f t="shared" si="7"/>
        <v>0.50624986994472065</v>
      </c>
      <c r="U25" s="12">
        <f t="shared" si="8"/>
        <v>3.2205391428797088E-2</v>
      </c>
      <c r="V25" s="12"/>
    </row>
    <row r="26" spans="8:22" x14ac:dyDescent="0.25">
      <c r="H26" s="7">
        <f t="shared" si="9"/>
        <v>53281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0.25</v>
      </c>
      <c r="Q26" s="11">
        <f t="shared" si="3"/>
        <v>22.136986301369863</v>
      </c>
      <c r="R26" s="14">
        <f t="shared" si="5"/>
        <v>0.92778574126563595</v>
      </c>
      <c r="S26" s="15">
        <f t="shared" si="6"/>
        <v>17.78714414550938</v>
      </c>
      <c r="T26">
        <f t="shared" si="7"/>
        <v>0.49297962742094337</v>
      </c>
      <c r="U26" s="12">
        <f t="shared" si="8"/>
        <v>3.1950484128876043E-2</v>
      </c>
      <c r="V26" s="12"/>
    </row>
    <row r="27" spans="8:22" x14ac:dyDescent="0.25">
      <c r="H27" s="7">
        <f t="shared" si="9"/>
        <v>53646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0.25</v>
      </c>
      <c r="Q27" s="11">
        <f t="shared" si="3"/>
        <v>23.136986301369863</v>
      </c>
      <c r="R27" s="14">
        <f t="shared" si="5"/>
        <v>0.92196938595069677</v>
      </c>
      <c r="S27" s="15">
        <f t="shared" si="6"/>
        <v>18.341073733875742</v>
      </c>
      <c r="T27">
        <f t="shared" si="7"/>
        <v>0.48033647495253673</v>
      </c>
      <c r="U27" s="12">
        <f t="shared" si="8"/>
        <v>3.1692478079165594E-2</v>
      </c>
      <c r="V27" s="12"/>
    </row>
    <row r="28" spans="8:22" x14ac:dyDescent="0.25">
      <c r="H28" s="7">
        <f t="shared" si="9"/>
        <v>54011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0.25</v>
      </c>
      <c r="Q28" s="11">
        <f t="shared" si="3"/>
        <v>24.136986301369863</v>
      </c>
      <c r="R28" s="14">
        <f t="shared" si="5"/>
        <v>0.91601628966605053</v>
      </c>
      <c r="S28" s="15">
        <f t="shared" si="6"/>
        <v>18.873472648032159</v>
      </c>
      <c r="T28">
        <f t="shared" si="7"/>
        <v>0.46828739314368834</v>
      </c>
      <c r="U28" s="12">
        <f t="shared" si="8"/>
        <v>3.1431972250089715E-2</v>
      </c>
      <c r="V28" s="12"/>
    </row>
    <row r="29" spans="8:22" x14ac:dyDescent="0.25">
      <c r="H29" s="7">
        <f t="shared" si="9"/>
        <v>54377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0.25</v>
      </c>
      <c r="Q29" s="11">
        <f t="shared" si="3"/>
        <v>25.139726027397259</v>
      </c>
      <c r="R29" s="14">
        <f t="shared" si="5"/>
        <v>0.90991951380903813</v>
      </c>
      <c r="S29" s="15">
        <f t="shared" si="6"/>
        <v>19.386112136857975</v>
      </c>
      <c r="T29">
        <f t="shared" si="7"/>
        <v>0.45676994557166906</v>
      </c>
      <c r="U29" s="12">
        <f t="shared" si="8"/>
        <v>3.1168812872419804E-2</v>
      </c>
      <c r="V29" s="12"/>
    </row>
    <row r="30" spans="8:22" x14ac:dyDescent="0.25">
      <c r="H30" s="7">
        <f t="shared" si="9"/>
        <v>54742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>
        <f t="shared" si="4"/>
        <v>0</v>
      </c>
      <c r="O30">
        <f t="shared" si="4"/>
        <v>0.25</v>
      </c>
      <c r="Q30" s="11">
        <f t="shared" si="3"/>
        <v>26.139726027397259</v>
      </c>
      <c r="R30" s="14">
        <f t="shared" si="5"/>
        <v>0.90372201912658712</v>
      </c>
      <c r="S30" s="15">
        <f t="shared" si="6"/>
        <v>19.876627331233085</v>
      </c>
      <c r="T30">
        <f t="shared" si="7"/>
        <v>0.44581662399614935</v>
      </c>
      <c r="U30" s="12">
        <f t="shared" si="8"/>
        <v>3.0904974582475202E-2</v>
      </c>
      <c r="V30" s="12"/>
    </row>
    <row r="31" spans="8:22" x14ac:dyDescent="0.25">
      <c r="H31" s="7">
        <f t="shared" si="9"/>
        <v>55107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0.25</v>
      </c>
      <c r="Q31" s="11">
        <f t="shared" si="3"/>
        <v>27.139726027397259</v>
      </c>
      <c r="R31" s="14">
        <f t="shared" si="5"/>
        <v>0.89741666150888122</v>
      </c>
      <c r="S31" s="15">
        <f t="shared" si="6"/>
        <v>20.346914451211681</v>
      </c>
      <c r="T31">
        <f t="shared" si="7"/>
        <v>0.43536617171494124</v>
      </c>
      <c r="U31" s="12">
        <f t="shared" si="8"/>
        <v>3.0640244013139365E-2</v>
      </c>
      <c r="V31" s="12"/>
    </row>
    <row r="32" spans="8:22" x14ac:dyDescent="0.25">
      <c r="H32" s="7">
        <f t="shared" si="9"/>
        <v>55472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0.25</v>
      </c>
      <c r="Q32" s="11">
        <f t="shared" si="3"/>
        <v>28.139726027397259</v>
      </c>
      <c r="R32" s="14">
        <f t="shared" si="5"/>
        <v>0.89101249281044936</v>
      </c>
      <c r="S32" s="15">
        <f t="shared" si="6"/>
        <v>20.797466930417709</v>
      </c>
      <c r="T32">
        <f t="shared" si="7"/>
        <v>0.42539089498117588</v>
      </c>
      <c r="U32" s="12">
        <f t="shared" si="8"/>
        <v>3.0375092459754668E-2</v>
      </c>
      <c r="V32" s="12"/>
    </row>
    <row r="33" spans="4:22" x14ac:dyDescent="0.25">
      <c r="H33" s="7">
        <f t="shared" si="9"/>
        <v>55838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100.25</v>
      </c>
      <c r="Q33" s="11">
        <f t="shared" si="3"/>
        <v>29.142465753424659</v>
      </c>
      <c r="R33" s="14">
        <f t="shared" si="5"/>
        <v>0.88450035249430026</v>
      </c>
      <c r="S33" s="15">
        <f t="shared" si="6"/>
        <v>21.229956197528473</v>
      </c>
      <c r="T33">
        <f t="shared" si="7"/>
        <v>0.41583891815549073</v>
      </c>
      <c r="U33" s="12">
        <f t="shared" si="8"/>
        <v>3.010923362164716E-2</v>
      </c>
      <c r="V33" s="12"/>
    </row>
    <row r="35" spans="4:22" x14ac:dyDescent="0.25">
      <c r="H35" t="s">
        <v>55</v>
      </c>
      <c r="I35" cm="1">
        <f t="array" ref="I35:O35">TRANSPOSE(C4:C10)</f>
        <v>96.38</v>
      </c>
      <c r="J35">
        <v>97.13</v>
      </c>
      <c r="K35">
        <v>99.35</v>
      </c>
      <c r="L35">
        <v>90.54</v>
      </c>
      <c r="M35">
        <v>86</v>
      </c>
      <c r="N35">
        <v>92.4</v>
      </c>
      <c r="O35">
        <v>46.4</v>
      </c>
    </row>
    <row r="36" spans="4:22" x14ac:dyDescent="0.25">
      <c r="H36" t="s">
        <v>56</v>
      </c>
      <c r="I36">
        <f t="shared" ref="I36:O36" si="10">SUMPRODUCT(I4:I33,$T$4:$T$33)</f>
        <v>96.087494782989552</v>
      </c>
      <c r="J36">
        <f t="shared" si="10"/>
        <v>97.787680334652691</v>
      </c>
      <c r="K36">
        <f t="shared" si="10"/>
        <v>98.025304183099394</v>
      </c>
      <c r="L36">
        <f t="shared" si="10"/>
        <v>88.752550876896237</v>
      </c>
      <c r="M36">
        <f t="shared" si="10"/>
        <v>83.758600057846436</v>
      </c>
      <c r="N36">
        <f t="shared" si="10"/>
        <v>91.24086944543285</v>
      </c>
      <c r="O36">
        <f t="shared" si="10"/>
        <v>46.417076121884747</v>
      </c>
    </row>
    <row r="37" spans="4:22" x14ac:dyDescent="0.25">
      <c r="H37" t="s">
        <v>57</v>
      </c>
      <c r="I37">
        <f>(I35-I36)^2</f>
        <v>8.5559301978326716E-2</v>
      </c>
      <c r="J37">
        <f t="shared" ref="J37:O37" si="11">(J35-J36)^2</f>
        <v>0.43254342258888195</v>
      </c>
      <c r="K37">
        <f t="shared" si="11"/>
        <v>1.7548190073139498</v>
      </c>
      <c r="L37">
        <f t="shared" si="11"/>
        <v>3.1949743676844342</v>
      </c>
      <c r="M37">
        <f t="shared" si="11"/>
        <v>5.0238737006859981</v>
      </c>
      <c r="N37">
        <f t="shared" si="11"/>
        <v>1.3435836425311625</v>
      </c>
      <c r="O37">
        <f t="shared" si="11"/>
        <v>2.9159393862279791E-4</v>
      </c>
    </row>
    <row r="39" spans="4:22" x14ac:dyDescent="0.25">
      <c r="H39" t="s">
        <v>74</v>
      </c>
      <c r="I39">
        <f>SUM(I37:O37)</f>
        <v>11.835645036721377</v>
      </c>
      <c r="U39" s="1">
        <f>AVERAGE(U4:U33)</f>
        <v>3.3418970929300809E-2</v>
      </c>
    </row>
    <row r="43" spans="4:22" x14ac:dyDescent="0.25">
      <c r="D43" s="7"/>
      <c r="K43" s="3"/>
    </row>
    <row r="44" spans="4:22" x14ac:dyDescent="0.25">
      <c r="D44" s="7"/>
      <c r="K44" s="3"/>
    </row>
    <row r="45" spans="4:22" x14ac:dyDescent="0.25">
      <c r="D45" s="7"/>
      <c r="K45" s="3"/>
    </row>
    <row r="46" spans="4:22" x14ac:dyDescent="0.25">
      <c r="D46" s="7"/>
      <c r="K46" s="3"/>
    </row>
    <row r="47" spans="4:22" x14ac:dyDescent="0.25">
      <c r="D47" s="7"/>
      <c r="K47" s="3"/>
    </row>
    <row r="48" spans="4:22" x14ac:dyDescent="0.25">
      <c r="D48" s="7"/>
      <c r="K48" s="3"/>
    </row>
    <row r="49" spans="4:11" x14ac:dyDescent="0.25">
      <c r="D49" s="7"/>
      <c r="K49" s="3"/>
    </row>
  </sheetData>
  <autoFilter ref="A3:F10" xr:uid="{3123E469-286C-43A5-8CF5-131E56FEC6E0}">
    <sortState xmlns:xlrd2="http://schemas.microsoft.com/office/spreadsheetml/2017/richdata2" ref="A4:F10">
      <sortCondition ref="D3:D10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0BAB-004D-48C0-BCA3-B3AA7FF09C54}">
  <dimension ref="A1:X49"/>
  <sheetViews>
    <sheetView topLeftCell="B1" workbookViewId="0">
      <selection activeCell="T4" sqref="T4:T33"/>
    </sheetView>
  </sheetViews>
  <sheetFormatPr defaultRowHeight="15" x14ac:dyDescent="0.25"/>
  <cols>
    <col min="1" max="1" width="13.5703125" bestFit="1" customWidth="1"/>
    <col min="2" max="2" width="11.5703125" bestFit="1" customWidth="1"/>
    <col min="4" max="4" width="10.42578125" bestFit="1" customWidth="1"/>
    <col min="6" max="6" width="19.42578125" bestFit="1" customWidth="1"/>
    <col min="8" max="8" width="10.42578125" bestFit="1" customWidth="1"/>
    <col min="9" max="15" width="13.5703125" bestFit="1" customWidth="1"/>
    <col min="24" max="24" width="10.140625" bestFit="1" customWidth="1"/>
  </cols>
  <sheetData>
    <row r="1" spans="1:24" x14ac:dyDescent="0.25">
      <c r="A1" t="s">
        <v>27</v>
      </c>
      <c r="B1" s="7">
        <v>45383</v>
      </c>
      <c r="H1" t="s">
        <v>28</v>
      </c>
      <c r="I1" s="8" cm="1">
        <f t="array" ref="I1:O1">TRANSPOSE(B4:B10)</f>
        <v>0</v>
      </c>
      <c r="J1" s="8">
        <v>1.7500000000000002E-2</v>
      </c>
      <c r="K1" s="8">
        <v>2.2499999999999999E-2</v>
      </c>
      <c r="L1" s="8">
        <v>5.0000000000000001E-3</v>
      </c>
      <c r="M1" s="8">
        <v>5.0000000000000001E-3</v>
      </c>
      <c r="N1" s="8">
        <v>2.2499999999999999E-2</v>
      </c>
      <c r="O1" s="8">
        <v>2.5000000000000001E-3</v>
      </c>
      <c r="X1" t="s">
        <v>72</v>
      </c>
    </row>
    <row r="2" spans="1:24" x14ac:dyDescent="0.25">
      <c r="H2" t="s">
        <v>25</v>
      </c>
      <c r="I2" s="7" cm="1">
        <f t="array" ref="I2:O2">TRANSPOSE(D4:D10)</f>
        <v>45611</v>
      </c>
      <c r="J2" s="7">
        <v>45976</v>
      </c>
      <c r="K2" s="7">
        <v>46341</v>
      </c>
      <c r="L2" s="7">
        <v>46706</v>
      </c>
      <c r="M2" s="7">
        <v>47437</v>
      </c>
      <c r="N2" s="7">
        <v>48898</v>
      </c>
      <c r="O2" s="7">
        <v>55838</v>
      </c>
      <c r="Q2" t="s">
        <v>31</v>
      </c>
      <c r="W2" t="s">
        <v>64</v>
      </c>
      <c r="X2" s="13">
        <v>1.0172189450599899E-2</v>
      </c>
    </row>
    <row r="3" spans="1:24" x14ac:dyDescent="0.25">
      <c r="A3" t="s">
        <v>33</v>
      </c>
      <c r="B3" t="s">
        <v>26</v>
      </c>
      <c r="C3" s="10" t="s">
        <v>34</v>
      </c>
      <c r="D3" t="s">
        <v>35</v>
      </c>
      <c r="E3" t="s">
        <v>36</v>
      </c>
      <c r="F3" t="s">
        <v>37</v>
      </c>
      <c r="H3" t="s">
        <v>38</v>
      </c>
      <c r="I3" t="str" cm="1">
        <f t="array" ref="I3:O3">TRANSPOSE(A4:A10)</f>
        <v>DK0009924292</v>
      </c>
      <c r="J3" t="str">
        <v>DK0009923138</v>
      </c>
      <c r="K3" t="str">
        <v>DK0009924888</v>
      </c>
      <c r="L3" t="str">
        <v>DK0009923567</v>
      </c>
      <c r="M3" t="str">
        <v>DK0009923807</v>
      </c>
      <c r="N3" t="str">
        <v>DK0009924532</v>
      </c>
      <c r="O3" t="str">
        <v>DK0009924029</v>
      </c>
      <c r="Q3" t="s">
        <v>6</v>
      </c>
      <c r="R3" t="s">
        <v>70</v>
      </c>
      <c r="S3" t="s">
        <v>71</v>
      </c>
      <c r="T3" t="s">
        <v>40</v>
      </c>
      <c r="U3" t="s">
        <v>39</v>
      </c>
      <c r="W3" t="s">
        <v>65</v>
      </c>
      <c r="X3" s="13">
        <v>3.4221073094520403E-2</v>
      </c>
    </row>
    <row r="4" spans="1:24" x14ac:dyDescent="0.25">
      <c r="A4" t="s">
        <v>42</v>
      </c>
      <c r="B4" s="12">
        <v>0</v>
      </c>
      <c r="C4" s="4">
        <v>96.38</v>
      </c>
      <c r="D4" s="7">
        <v>45611</v>
      </c>
      <c r="E4" s="6">
        <f t="shared" ref="E4:E10" si="0">(1-($H$4-$B$1)/365)*B4*100</f>
        <v>0</v>
      </c>
      <c r="F4" s="6">
        <f t="shared" ref="F4:F10" si="1">C4+E4</f>
        <v>96.38</v>
      </c>
      <c r="H4" s="7">
        <v>45611</v>
      </c>
      <c r="I4">
        <f>IF($H4&gt;I$2,0,IF($H4=I$2,1+I$1,I$1)*100)</f>
        <v>100</v>
      </c>
      <c r="J4">
        <f t="shared" ref="J4:O19" si="2">IF($H4&gt;J$2,0,IF($H4=J$2,1+J$1,J$1)*100)</f>
        <v>1.7500000000000002</v>
      </c>
      <c r="K4">
        <f t="shared" si="2"/>
        <v>2.25</v>
      </c>
      <c r="L4">
        <f t="shared" si="2"/>
        <v>0.5</v>
      </c>
      <c r="M4">
        <f t="shared" si="2"/>
        <v>0.5</v>
      </c>
      <c r="N4">
        <f t="shared" si="2"/>
        <v>2.25</v>
      </c>
      <c r="O4">
        <f t="shared" si="2"/>
        <v>0.25</v>
      </c>
      <c r="Q4" s="11">
        <f t="shared" ref="Q4:Q33" si="3">(H4-$B$1)/365</f>
        <v>0.62465753424657533</v>
      </c>
      <c r="R4" s="14">
        <f>EXP((S4-Q4)*($X$2^2*$X$3-$X$4^2/2)/($X$2^2)-$X$4^2*S4^2/(4*$X$2))</f>
        <v>0.99993454138096882</v>
      </c>
      <c r="S4" s="15">
        <f>(1-EXP(-$X$2*Q4))/$X$2</f>
        <v>0.62267715192341322</v>
      </c>
      <c r="T4">
        <f>R4*EXP(-S4*$X$5)</f>
        <v>0.97885271159647913</v>
      </c>
      <c r="U4" s="12">
        <f>-1/Q4*LN(T4)</f>
        <v>3.4217302130664859E-2</v>
      </c>
      <c r="V4" s="12"/>
      <c r="W4" t="s">
        <v>66</v>
      </c>
      <c r="X4" s="13">
        <v>7.55887677064621E-3</v>
      </c>
    </row>
    <row r="5" spans="1:24" x14ac:dyDescent="0.25">
      <c r="A5" t="s">
        <v>44</v>
      </c>
      <c r="B5" s="12">
        <v>1.7500000000000002E-2</v>
      </c>
      <c r="C5" s="4">
        <v>97.13</v>
      </c>
      <c r="D5" s="7">
        <v>45976</v>
      </c>
      <c r="E5" s="6">
        <f t="shared" si="0"/>
        <v>0.6568493150684932</v>
      </c>
      <c r="F5" s="6">
        <f t="shared" si="1"/>
        <v>97.786849315068494</v>
      </c>
      <c r="H5" s="7">
        <f>DATE(YEAR(H4)+1,MONTH(H4),DAY(H4))</f>
        <v>45976</v>
      </c>
      <c r="I5">
        <f t="shared" ref="I5:O33" si="4">IF($H5&gt;I$2,0,IF($H5=I$2,1+I$1,I$1)*100)</f>
        <v>0</v>
      </c>
      <c r="J5">
        <f t="shared" si="2"/>
        <v>101.75</v>
      </c>
      <c r="K5">
        <f t="shared" si="2"/>
        <v>2.25</v>
      </c>
      <c r="L5">
        <f t="shared" si="2"/>
        <v>0.5</v>
      </c>
      <c r="M5">
        <f t="shared" si="2"/>
        <v>0.5</v>
      </c>
      <c r="N5">
        <f t="shared" si="2"/>
        <v>2.25</v>
      </c>
      <c r="O5">
        <f t="shared" si="2"/>
        <v>0.25</v>
      </c>
      <c r="Q5" s="11">
        <f t="shared" si="3"/>
        <v>1.6246575342465754</v>
      </c>
      <c r="R5" s="14">
        <f t="shared" ref="R5:R33" si="5">EXP((S5-Q5)*($X$2^2*$X$3-$X$4^2/2)/($X$2^2)-$X$4^2*S5^2/(4*$X$2))</f>
        <v>0.99958353001011124</v>
      </c>
      <c r="S5" s="15">
        <f t="shared" ref="S5:S33" si="6">(1-EXP(-$X$2*Q5))/$X$2</f>
        <v>1.6113063753648278</v>
      </c>
      <c r="T5">
        <f t="shared" ref="T5:T33" si="7">R5*EXP(-S5*$X$5)</f>
        <v>0.94595803421520364</v>
      </c>
      <c r="U5" s="12">
        <f t="shared" ref="U5:U33" si="8">-1/Q5*LN(T5)</f>
        <v>3.4196174293879784E-2</v>
      </c>
      <c r="V5" s="12"/>
      <c r="W5" t="s">
        <v>69</v>
      </c>
      <c r="X5" s="13">
        <v>3.4221000000000001E-2</v>
      </c>
    </row>
    <row r="6" spans="1:24" x14ac:dyDescent="0.25">
      <c r="A6" t="s">
        <v>46</v>
      </c>
      <c r="B6" s="12">
        <v>2.2499999999999999E-2</v>
      </c>
      <c r="C6" s="4">
        <v>99.35</v>
      </c>
      <c r="D6" s="7">
        <v>46341</v>
      </c>
      <c r="E6" s="6">
        <f t="shared" si="0"/>
        <v>0.84452054794520548</v>
      </c>
      <c r="F6" s="6">
        <f t="shared" si="1"/>
        <v>100.1945205479452</v>
      </c>
      <c r="H6" s="7">
        <f t="shared" ref="H6:H33" si="9">DATE(YEAR(H5)+1,MONTH(H5),DAY(H5))</f>
        <v>46341</v>
      </c>
      <c r="I6">
        <f t="shared" si="4"/>
        <v>0</v>
      </c>
      <c r="J6">
        <f t="shared" si="2"/>
        <v>0</v>
      </c>
      <c r="K6">
        <f t="shared" si="2"/>
        <v>102.25</v>
      </c>
      <c r="L6">
        <f t="shared" si="2"/>
        <v>0.5</v>
      </c>
      <c r="M6">
        <f t="shared" si="2"/>
        <v>0.5</v>
      </c>
      <c r="N6">
        <f t="shared" si="2"/>
        <v>2.25</v>
      </c>
      <c r="O6">
        <f t="shared" si="2"/>
        <v>0.25</v>
      </c>
      <c r="Q6" s="11">
        <f t="shared" si="3"/>
        <v>2.6246575342465754</v>
      </c>
      <c r="R6" s="14">
        <f t="shared" si="5"/>
        <v>0.99898088215202097</v>
      </c>
      <c r="S6" s="15">
        <f t="shared" si="6"/>
        <v>2.5899300504910712</v>
      </c>
      <c r="T6">
        <f t="shared" si="7"/>
        <v>0.91425145200672175</v>
      </c>
      <c r="U6" s="12">
        <f t="shared" si="8"/>
        <v>3.4156697622362904E-2</v>
      </c>
      <c r="V6" s="12"/>
    </row>
    <row r="7" spans="1:24" x14ac:dyDescent="0.25">
      <c r="A7" t="s">
        <v>48</v>
      </c>
      <c r="B7" s="12">
        <v>5.0000000000000001E-3</v>
      </c>
      <c r="C7" s="4">
        <v>90.54</v>
      </c>
      <c r="D7" s="7">
        <v>46706</v>
      </c>
      <c r="E7" s="6">
        <f t="shared" si="0"/>
        <v>0.18767123287671234</v>
      </c>
      <c r="F7" s="6">
        <f t="shared" si="1"/>
        <v>90.727671232876716</v>
      </c>
      <c r="H7" s="7">
        <f t="shared" si="9"/>
        <v>46706</v>
      </c>
      <c r="I7">
        <f t="shared" si="4"/>
        <v>0</v>
      </c>
      <c r="J7">
        <f t="shared" si="2"/>
        <v>0</v>
      </c>
      <c r="K7">
        <f t="shared" si="2"/>
        <v>0</v>
      </c>
      <c r="L7">
        <f t="shared" si="2"/>
        <v>100.49999999999999</v>
      </c>
      <c r="M7">
        <f t="shared" si="2"/>
        <v>0.5</v>
      </c>
      <c r="N7">
        <f t="shared" si="2"/>
        <v>2.25</v>
      </c>
      <c r="O7">
        <f t="shared" si="2"/>
        <v>0.25</v>
      </c>
      <c r="Q7" s="11">
        <f t="shared" si="3"/>
        <v>3.6246575342465754</v>
      </c>
      <c r="R7" s="14">
        <f t="shared" si="5"/>
        <v>0.99818394224585461</v>
      </c>
      <c r="S7" s="15">
        <f t="shared" si="6"/>
        <v>3.558649439731679</v>
      </c>
      <c r="T7">
        <f t="shared" si="7"/>
        <v>0.88373480891705503</v>
      </c>
      <c r="U7" s="12">
        <f t="shared" si="8"/>
        <v>3.4099290786927701E-2</v>
      </c>
      <c r="V7" s="12"/>
    </row>
    <row r="8" spans="1:24" x14ac:dyDescent="0.25">
      <c r="A8" t="s">
        <v>50</v>
      </c>
      <c r="B8" s="12">
        <v>5.0000000000000001E-3</v>
      </c>
      <c r="C8" s="4">
        <v>86</v>
      </c>
      <c r="D8" s="7">
        <v>47437</v>
      </c>
      <c r="E8" s="6">
        <f t="shared" si="0"/>
        <v>0.18767123287671234</v>
      </c>
      <c r="F8" s="6">
        <f t="shared" si="1"/>
        <v>86.18767123287671</v>
      </c>
      <c r="H8" s="7">
        <f t="shared" si="9"/>
        <v>47072</v>
      </c>
      <c r="I8">
        <f t="shared" si="4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0.5</v>
      </c>
      <c r="N8">
        <f t="shared" si="2"/>
        <v>2.25</v>
      </c>
      <c r="O8">
        <f t="shared" si="2"/>
        <v>0.25</v>
      </c>
      <c r="Q8" s="11">
        <f t="shared" si="3"/>
        <v>4.6273972602739724</v>
      </c>
      <c r="R8" s="14">
        <f t="shared" si="5"/>
        <v>0.99724563924474141</v>
      </c>
      <c r="S8" s="15">
        <f t="shared" si="6"/>
        <v>4.5201785702142541</v>
      </c>
      <c r="T8">
        <f t="shared" si="7"/>
        <v>0.85432534488266831</v>
      </c>
      <c r="U8" s="12">
        <f t="shared" si="8"/>
        <v>3.4024135595517625E-2</v>
      </c>
      <c r="V8" s="12"/>
    </row>
    <row r="9" spans="1:24" x14ac:dyDescent="0.25">
      <c r="A9" t="s">
        <v>52</v>
      </c>
      <c r="B9" s="12">
        <v>2.2499999999999999E-2</v>
      </c>
      <c r="C9" s="4">
        <v>92.4</v>
      </c>
      <c r="D9" s="7">
        <v>48898</v>
      </c>
      <c r="E9" s="6">
        <f t="shared" si="0"/>
        <v>0.84452054794520548</v>
      </c>
      <c r="F9" s="6">
        <f t="shared" si="1"/>
        <v>93.244520547945214</v>
      </c>
      <c r="H9" s="7">
        <f t="shared" si="9"/>
        <v>47437</v>
      </c>
      <c r="I9">
        <f t="shared" si="4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100.49999999999999</v>
      </c>
      <c r="N9">
        <f t="shared" si="2"/>
        <v>2.25</v>
      </c>
      <c r="O9">
        <f t="shared" si="2"/>
        <v>0.25</v>
      </c>
      <c r="Q9" s="11">
        <f t="shared" si="3"/>
        <v>5.6273972602739724</v>
      </c>
      <c r="R9" s="14">
        <f t="shared" si="5"/>
        <v>0.99622509511790225</v>
      </c>
      <c r="S9" s="15">
        <f t="shared" si="6"/>
        <v>5.4693626327960336</v>
      </c>
      <c r="T9">
        <f t="shared" si="7"/>
        <v>0.82617463402143343</v>
      </c>
      <c r="U9" s="12">
        <f t="shared" si="8"/>
        <v>3.3932046671385788E-2</v>
      </c>
      <c r="V9" s="12"/>
    </row>
    <row r="10" spans="1:24" x14ac:dyDescent="0.25">
      <c r="A10" t="s">
        <v>54</v>
      </c>
      <c r="B10" s="12">
        <v>2.5000000000000001E-3</v>
      </c>
      <c r="C10" s="4">
        <v>46.4</v>
      </c>
      <c r="D10" s="7">
        <v>55838</v>
      </c>
      <c r="E10" s="6">
        <f t="shared" si="0"/>
        <v>9.3835616438356168E-2</v>
      </c>
      <c r="F10" s="6">
        <f t="shared" si="1"/>
        <v>46.493835616438353</v>
      </c>
      <c r="H10" s="7">
        <f t="shared" si="9"/>
        <v>47802</v>
      </c>
      <c r="I10">
        <f t="shared" si="4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2.25</v>
      </c>
      <c r="O10">
        <f t="shared" si="2"/>
        <v>0.25</v>
      </c>
      <c r="Q10" s="11">
        <f t="shared" si="3"/>
        <v>6.6273972602739724</v>
      </c>
      <c r="R10" s="14">
        <f t="shared" si="5"/>
        <v>0.99517200628376568</v>
      </c>
      <c r="S10" s="15">
        <f t="shared" si="6"/>
        <v>6.4089403568507182</v>
      </c>
      <c r="T10">
        <f t="shared" si="7"/>
        <v>0.79918722694322075</v>
      </c>
      <c r="U10" s="12">
        <f t="shared" si="8"/>
        <v>3.3823237882909453E-2</v>
      </c>
      <c r="V10" s="12"/>
    </row>
    <row r="11" spans="1:24" x14ac:dyDescent="0.25">
      <c r="B11" s="8"/>
      <c r="C11" s="4"/>
      <c r="D11" s="7"/>
      <c r="H11" s="7">
        <f t="shared" si="9"/>
        <v>48167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2.25</v>
      </c>
      <c r="O11">
        <f t="shared" si="2"/>
        <v>0.25</v>
      </c>
      <c r="Q11" s="11">
        <f t="shared" si="3"/>
        <v>7.6273972602739724</v>
      </c>
      <c r="R11" s="14">
        <f t="shared" si="5"/>
        <v>0.99413670843729629</v>
      </c>
      <c r="S11" s="15">
        <f t="shared" si="6"/>
        <v>7.3390089645542016</v>
      </c>
      <c r="T11">
        <f t="shared" si="7"/>
        <v>0.77334596125100519</v>
      </c>
      <c r="U11" s="12">
        <f t="shared" si="8"/>
        <v>3.3698097155371289E-2</v>
      </c>
      <c r="V11" s="12"/>
    </row>
    <row r="12" spans="1:24" x14ac:dyDescent="0.25">
      <c r="B12" s="8"/>
      <c r="C12" s="4"/>
      <c r="D12" s="7"/>
      <c r="H12" s="7">
        <f t="shared" si="9"/>
        <v>48533</v>
      </c>
      <c r="I12">
        <f t="shared" si="4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2.25</v>
      </c>
      <c r="O12">
        <f t="shared" si="2"/>
        <v>0.25</v>
      </c>
      <c r="Q12" s="11">
        <f t="shared" si="3"/>
        <v>8.6301369863013697</v>
      </c>
      <c r="R12" s="14">
        <f t="shared" si="5"/>
        <v>0.99316529820663446</v>
      </c>
      <c r="S12" s="15">
        <f t="shared" si="6"/>
        <v>8.262174196495442</v>
      </c>
      <c r="T12">
        <f t="shared" si="7"/>
        <v>0.74856440865450613</v>
      </c>
      <c r="U12" s="12">
        <f t="shared" si="8"/>
        <v>3.3556596955254279E-2</v>
      </c>
      <c r="V12" s="12"/>
    </row>
    <row r="13" spans="1:24" x14ac:dyDescent="0.25">
      <c r="H13" s="7">
        <f t="shared" si="9"/>
        <v>48898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102.25</v>
      </c>
      <c r="O13">
        <f t="shared" si="2"/>
        <v>0.25</v>
      </c>
      <c r="Q13" s="11">
        <f t="shared" si="3"/>
        <v>9.6301369863013697</v>
      </c>
      <c r="R13" s="14">
        <f t="shared" si="5"/>
        <v>0.99231014975714826</v>
      </c>
      <c r="S13" s="15">
        <f t="shared" si="6"/>
        <v>9.1734869144454976</v>
      </c>
      <c r="T13">
        <f t="shared" si="7"/>
        <v>0.72495516653854708</v>
      </c>
      <c r="U13" s="12">
        <f t="shared" si="8"/>
        <v>3.3399884732096451E-2</v>
      </c>
      <c r="V13" s="12"/>
    </row>
    <row r="14" spans="1:24" x14ac:dyDescent="0.25">
      <c r="H14" s="7">
        <f t="shared" si="9"/>
        <v>49263</v>
      </c>
      <c r="I14">
        <f t="shared" si="4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0.25</v>
      </c>
      <c r="Q14" s="11">
        <f t="shared" si="3"/>
        <v>10.63013698630137</v>
      </c>
      <c r="R14" s="14">
        <f t="shared" si="5"/>
        <v>0.99161388121686833</v>
      </c>
      <c r="S14" s="15">
        <f t="shared" si="6"/>
        <v>10.075576575648421</v>
      </c>
      <c r="T14">
        <f t="shared" si="7"/>
        <v>0.70242419848576132</v>
      </c>
      <c r="U14" s="12">
        <f t="shared" si="8"/>
        <v>3.322796183743261E-2</v>
      </c>
      <c r="V14" s="12"/>
    </row>
    <row r="15" spans="1:24" x14ac:dyDescent="0.25">
      <c r="H15" s="7">
        <f t="shared" si="9"/>
        <v>49628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0.25</v>
      </c>
      <c r="Q15" s="11">
        <f t="shared" si="3"/>
        <v>11.63013698630137</v>
      </c>
      <c r="R15" s="14">
        <f t="shared" si="5"/>
        <v>0.99112040878911312</v>
      </c>
      <c r="S15" s="15">
        <f t="shared" si="6"/>
        <v>10.968536523227893</v>
      </c>
      <c r="T15">
        <f t="shared" si="7"/>
        <v>0.68094513727356065</v>
      </c>
      <c r="U15" s="12">
        <f t="shared" si="8"/>
        <v>3.30411876091447E-2</v>
      </c>
      <c r="V15" s="12"/>
    </row>
    <row r="16" spans="1:24" x14ac:dyDescent="0.25">
      <c r="H16" s="7">
        <f t="shared" si="9"/>
        <v>49994</v>
      </c>
      <c r="I16">
        <f t="shared" si="4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0.25</v>
      </c>
      <c r="Q16" s="11">
        <f t="shared" si="3"/>
        <v>12.632876712328768</v>
      </c>
      <c r="R16" s="14">
        <f t="shared" si="5"/>
        <v>0.99087199338744358</v>
      </c>
      <c r="S16" s="15">
        <f t="shared" si="6"/>
        <v>11.854868531741662</v>
      </c>
      <c r="T16">
        <f t="shared" si="7"/>
        <v>0.66043578724090302</v>
      </c>
      <c r="U16" s="12">
        <f t="shared" si="8"/>
        <v>3.2839343532089747E-2</v>
      </c>
      <c r="V16" s="12"/>
    </row>
    <row r="17" spans="8:22" x14ac:dyDescent="0.25">
      <c r="H17" s="7">
        <f t="shared" si="9"/>
        <v>50359</v>
      </c>
      <c r="I17">
        <f t="shared" si="4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0.25</v>
      </c>
      <c r="Q17" s="11">
        <f t="shared" si="3"/>
        <v>13.632876712328768</v>
      </c>
      <c r="R17" s="14">
        <f t="shared" si="5"/>
        <v>0.99091143228883505</v>
      </c>
      <c r="S17" s="15">
        <f t="shared" si="6"/>
        <v>12.729820927843411</v>
      </c>
      <c r="T17">
        <f t="shared" si="7"/>
        <v>0.64097980842314728</v>
      </c>
      <c r="U17" s="12">
        <f t="shared" si="8"/>
        <v>3.2623879175499984E-2</v>
      </c>
      <c r="V17" s="12"/>
    </row>
    <row r="18" spans="8:22" x14ac:dyDescent="0.25">
      <c r="H18" s="7">
        <f t="shared" si="9"/>
        <v>50724</v>
      </c>
      <c r="I18">
        <f t="shared" si="4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0.25</v>
      </c>
      <c r="Q18" s="11">
        <f t="shared" si="3"/>
        <v>14.632876712328768</v>
      </c>
      <c r="R18" s="14">
        <f t="shared" si="5"/>
        <v>0.99127796145676406</v>
      </c>
      <c r="S18" s="15">
        <f t="shared" si="6"/>
        <v>13.595918256478914</v>
      </c>
      <c r="T18">
        <f t="shared" si="7"/>
        <v>0.62249093262931665</v>
      </c>
      <c r="U18" s="12">
        <f t="shared" si="8"/>
        <v>3.2394601972372081E-2</v>
      </c>
      <c r="V18" s="12"/>
    </row>
    <row r="19" spans="8:22" x14ac:dyDescent="0.25">
      <c r="H19" s="7">
        <f t="shared" si="9"/>
        <v>51089</v>
      </c>
      <c r="I19">
        <f t="shared" si="4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0.25</v>
      </c>
      <c r="Q19" s="11">
        <f t="shared" si="3"/>
        <v>15.632876712328768</v>
      </c>
      <c r="R19" s="14">
        <f t="shared" si="5"/>
        <v>0.9920109325377866</v>
      </c>
      <c r="S19" s="15">
        <f t="shared" si="6"/>
        <v>14.453250136489359</v>
      </c>
      <c r="T19">
        <f t="shared" si="7"/>
        <v>0.60494010613531457</v>
      </c>
      <c r="U19" s="12">
        <f t="shared" si="8"/>
        <v>3.2151844681215173E-2</v>
      </c>
      <c r="V19" s="12"/>
    </row>
    <row r="20" spans="8:22" x14ac:dyDescent="0.25">
      <c r="H20" s="7">
        <f t="shared" si="9"/>
        <v>51455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0.25</v>
      </c>
      <c r="Q20" s="11">
        <f t="shared" si="3"/>
        <v>16.635616438356163</v>
      </c>
      <c r="R20" s="14">
        <f t="shared" si="5"/>
        <v>0.99315265284324017</v>
      </c>
      <c r="S20" s="15">
        <f t="shared" si="6"/>
        <v>15.304218524525508</v>
      </c>
      <c r="T20">
        <f t="shared" si="7"/>
        <v>0.58825393625315603</v>
      </c>
      <c r="U20" s="12">
        <f t="shared" si="8"/>
        <v>3.189521481816545E-2</v>
      </c>
      <c r="V20" s="12"/>
    </row>
    <row r="21" spans="8:22" x14ac:dyDescent="0.25">
      <c r="H21" s="7">
        <f t="shared" si="9"/>
        <v>51820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0.25</v>
      </c>
      <c r="Q21" s="11">
        <f t="shared" si="3"/>
        <v>17.635616438356163</v>
      </c>
      <c r="R21" s="14">
        <f t="shared" si="5"/>
        <v>0.99473498782786052</v>
      </c>
      <c r="S21" s="15">
        <f t="shared" si="6"/>
        <v>16.144261333503565</v>
      </c>
      <c r="T21">
        <f t="shared" si="7"/>
        <v>0.57249476466540694</v>
      </c>
      <c r="U21" s="12">
        <f t="shared" si="8"/>
        <v>3.1626435641440472E-2</v>
      </c>
      <c r="V21" s="12"/>
    </row>
    <row r="22" spans="8:22" x14ac:dyDescent="0.25">
      <c r="H22" s="7">
        <f t="shared" si="9"/>
        <v>52185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0.25</v>
      </c>
      <c r="Q22" s="11">
        <f t="shared" si="3"/>
        <v>18.635616438356163</v>
      </c>
      <c r="R22" s="14">
        <f t="shared" si="5"/>
        <v>0.99679810323918838</v>
      </c>
      <c r="S22" s="15">
        <f t="shared" si="6"/>
        <v>16.975802381950217</v>
      </c>
      <c r="T22">
        <f t="shared" si="7"/>
        <v>0.55758742761247726</v>
      </c>
      <c r="U22" s="12">
        <f t="shared" si="8"/>
        <v>3.1345137900087347E-2</v>
      </c>
      <c r="V22" s="12"/>
    </row>
    <row r="23" spans="8:22" x14ac:dyDescent="0.25">
      <c r="H23" s="7">
        <f t="shared" si="9"/>
        <v>52550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0.25</v>
      </c>
      <c r="Q23" s="11">
        <f t="shared" si="3"/>
        <v>19.635616438356163</v>
      </c>
      <c r="R23" s="14">
        <f t="shared" si="5"/>
        <v>0.99937940848479412</v>
      </c>
      <c r="S23" s="15">
        <f t="shared" si="6"/>
        <v>17.798927713018703</v>
      </c>
      <c r="T23">
        <f t="shared" si="7"/>
        <v>0.54350417572210175</v>
      </c>
      <c r="U23" s="12">
        <f t="shared" si="8"/>
        <v>3.105162964163526E-2</v>
      </c>
      <c r="V23" s="12"/>
    </row>
    <row r="24" spans="8:22" x14ac:dyDescent="0.25">
      <c r="H24" s="7">
        <f t="shared" si="9"/>
        <v>52916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0.25</v>
      </c>
      <c r="Q24" s="11">
        <f t="shared" si="3"/>
        <v>20.638356164383563</v>
      </c>
      <c r="R24" s="14">
        <f t="shared" si="5"/>
        <v>1.0025256912599247</v>
      </c>
      <c r="S24" s="15">
        <f t="shared" si="6"/>
        <v>18.615943448071665</v>
      </c>
      <c r="T24">
        <f t="shared" si="7"/>
        <v>0.53018265821194821</v>
      </c>
      <c r="U24" s="12">
        <f t="shared" si="8"/>
        <v>3.0745360174050069E-2</v>
      </c>
      <c r="V24" s="12"/>
    </row>
    <row r="25" spans="8:22" x14ac:dyDescent="0.25">
      <c r="H25" s="7">
        <f t="shared" si="9"/>
        <v>53281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0.25</v>
      </c>
      <c r="Q25" s="11">
        <f t="shared" si="3"/>
        <v>21.638356164383563</v>
      </c>
      <c r="R25" s="14">
        <f t="shared" si="5"/>
        <v>1.0062574302566902</v>
      </c>
      <c r="S25" s="15">
        <f t="shared" si="6"/>
        <v>19.422469522015554</v>
      </c>
      <c r="T25">
        <f t="shared" si="7"/>
        <v>0.517669435578891</v>
      </c>
      <c r="U25" s="12">
        <f t="shared" si="8"/>
        <v>3.0428300129713211E-2</v>
      </c>
      <c r="V25" s="12"/>
    </row>
    <row r="26" spans="8:22" x14ac:dyDescent="0.25">
      <c r="H26" s="7">
        <f t="shared" si="9"/>
        <v>53646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0.25</v>
      </c>
      <c r="Q26" s="11">
        <f t="shared" si="3"/>
        <v>22.638356164383563</v>
      </c>
      <c r="R26" s="14">
        <f t="shared" si="5"/>
        <v>1.0106204291946284</v>
      </c>
      <c r="S26" s="15">
        <f t="shared" si="6"/>
        <v>20.22083304582543</v>
      </c>
      <c r="T26">
        <f t="shared" si="7"/>
        <v>0.50590180030446796</v>
      </c>
      <c r="U26" s="12">
        <f t="shared" si="8"/>
        <v>3.0099919540332084E-2</v>
      </c>
      <c r="V26" s="12"/>
    </row>
    <row r="27" spans="8:22" x14ac:dyDescent="0.25">
      <c r="H27" s="7">
        <f t="shared" si="9"/>
        <v>54011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0.25</v>
      </c>
      <c r="Q27" s="11">
        <f t="shared" si="3"/>
        <v>23.638356164383563</v>
      </c>
      <c r="R27" s="14">
        <f t="shared" si="5"/>
        <v>1.0156532903568081</v>
      </c>
      <c r="S27" s="15">
        <f t="shared" si="6"/>
        <v>21.011116629632369</v>
      </c>
      <c r="T27">
        <f t="shared" si="7"/>
        <v>0.49485554815339439</v>
      </c>
      <c r="U27" s="12">
        <f t="shared" si="8"/>
        <v>2.976050348095035E-2</v>
      </c>
      <c r="V27" s="12"/>
    </row>
    <row r="28" spans="8:22" x14ac:dyDescent="0.25">
      <c r="H28" s="7">
        <f t="shared" si="9"/>
        <v>54377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0.25</v>
      </c>
      <c r="Q28" s="11">
        <f t="shared" si="3"/>
        <v>24.641095890410959</v>
      </c>
      <c r="R28" s="14">
        <f t="shared" si="5"/>
        <v>1.0214122007247666</v>
      </c>
      <c r="S28" s="15">
        <f t="shared" si="6"/>
        <v>21.795534383227888</v>
      </c>
      <c r="T28">
        <f t="shared" si="7"/>
        <v>0.48448015808796452</v>
      </c>
      <c r="U28" s="12">
        <f t="shared" si="8"/>
        <v>2.9409357647552942E-2</v>
      </c>
      <c r="V28" s="12"/>
    </row>
    <row r="29" spans="8:22" x14ac:dyDescent="0.25">
      <c r="H29" s="7">
        <f t="shared" si="9"/>
        <v>54742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0.25</v>
      </c>
      <c r="Q29" s="11">
        <f t="shared" si="3"/>
        <v>25.641095890410959</v>
      </c>
      <c r="R29" s="14">
        <f t="shared" si="5"/>
        <v>1.0279063037350638</v>
      </c>
      <c r="S29" s="15">
        <f t="shared" si="6"/>
        <v>22.569881001042159</v>
      </c>
      <c r="T29">
        <f t="shared" si="7"/>
        <v>0.47481032091690678</v>
      </c>
      <c r="U29" s="12">
        <f t="shared" si="8"/>
        <v>2.9048675698869736E-2</v>
      </c>
      <c r="V29" s="12"/>
    </row>
    <row r="30" spans="8:22" x14ac:dyDescent="0.25">
      <c r="H30" s="7">
        <f t="shared" si="9"/>
        <v>55107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>
        <f t="shared" si="4"/>
        <v>0</v>
      </c>
      <c r="O30">
        <f t="shared" si="4"/>
        <v>0.25</v>
      </c>
      <c r="Q30" s="11">
        <f t="shared" si="3"/>
        <v>26.641095890410959</v>
      </c>
      <c r="R30" s="14">
        <f t="shared" si="5"/>
        <v>1.0351921840021259</v>
      </c>
      <c r="S30" s="15">
        <f t="shared" si="6"/>
        <v>23.336390745017844</v>
      </c>
      <c r="T30">
        <f t="shared" si="7"/>
        <v>0.46579598871202993</v>
      </c>
      <c r="U30" s="12">
        <f t="shared" si="8"/>
        <v>2.8677781736975688E-2</v>
      </c>
      <c r="V30" s="12"/>
    </row>
    <row r="31" spans="8:22" x14ac:dyDescent="0.25">
      <c r="H31" s="7">
        <f t="shared" si="9"/>
        <v>55472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0.25</v>
      </c>
      <c r="Q31" s="11">
        <f t="shared" si="3"/>
        <v>27.641095890410959</v>
      </c>
      <c r="R31" s="14">
        <f t="shared" si="5"/>
        <v>1.0433132521437962</v>
      </c>
      <c r="S31" s="15">
        <f t="shared" si="6"/>
        <v>24.095142929237507</v>
      </c>
      <c r="T31">
        <f t="shared" si="7"/>
        <v>0.45741764672455604</v>
      </c>
      <c r="U31" s="12">
        <f t="shared" si="8"/>
        <v>2.8296939482076584E-2</v>
      </c>
      <c r="V31" s="12"/>
    </row>
    <row r="32" spans="8:22" x14ac:dyDescent="0.25">
      <c r="H32" s="7">
        <f t="shared" si="9"/>
        <v>55838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100.25</v>
      </c>
      <c r="Q32" s="11">
        <f t="shared" si="3"/>
        <v>28.643835616438356</v>
      </c>
      <c r="R32" s="14">
        <f t="shared" si="5"/>
        <v>1.0523406676559441</v>
      </c>
      <c r="S32" s="15">
        <f t="shared" si="6"/>
        <v>24.84826332307664</v>
      </c>
      <c r="T32">
        <f t="shared" si="7"/>
        <v>0.44963662217050937</v>
      </c>
      <c r="U32" s="12">
        <f t="shared" si="8"/>
        <v>2.7905324531873641E-2</v>
      </c>
      <c r="V32" s="12"/>
    </row>
    <row r="33" spans="4:22" x14ac:dyDescent="0.25">
      <c r="H33" s="7">
        <f t="shared" si="9"/>
        <v>56203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0</v>
      </c>
      <c r="Q33" s="11">
        <f t="shared" si="3"/>
        <v>29.643835616438356</v>
      </c>
      <c r="R33" s="14">
        <f t="shared" si="5"/>
        <v>1.0622725692833395</v>
      </c>
      <c r="S33" s="15">
        <f t="shared" si="6"/>
        <v>25.591714407786512</v>
      </c>
      <c r="T33">
        <f t="shared" si="7"/>
        <v>0.44247845177031431</v>
      </c>
      <c r="U33" s="12">
        <f t="shared" si="8"/>
        <v>2.7505331052098677E-2</v>
      </c>
      <c r="V33" s="12"/>
    </row>
    <row r="35" spans="4:22" x14ac:dyDescent="0.25">
      <c r="H35" t="s">
        <v>55</v>
      </c>
      <c r="I35" cm="1">
        <f t="array" ref="I35:O35">TRANSPOSE(C4:C10)</f>
        <v>96.38</v>
      </c>
      <c r="J35">
        <v>97.13</v>
      </c>
      <c r="K35">
        <v>99.35</v>
      </c>
      <c r="L35">
        <v>90.54</v>
      </c>
      <c r="M35">
        <v>86</v>
      </c>
      <c r="N35">
        <v>92.4</v>
      </c>
      <c r="O35">
        <v>46.4</v>
      </c>
    </row>
    <row r="36" spans="4:22" x14ac:dyDescent="0.25">
      <c r="H36" t="s">
        <v>56</v>
      </c>
      <c r="I36">
        <f t="shared" ref="I36:O36" si="10">SUMPRODUCT(I4:I33,$T$4:$T$33)</f>
        <v>97.885271159647914</v>
      </c>
      <c r="J36">
        <f t="shared" si="10"/>
        <v>97.964222226690808</v>
      </c>
      <c r="K36">
        <f t="shared" si="10"/>
        <v>97.813035145763578</v>
      </c>
      <c r="L36">
        <f t="shared" si="10"/>
        <v>90.234879395073222</v>
      </c>
      <c r="M36">
        <f t="shared" si="10"/>
        <v>85.319111894963115</v>
      </c>
      <c r="N36">
        <f t="shared" si="10"/>
        <v>91.506553589165094</v>
      </c>
      <c r="O36">
        <f t="shared" si="10"/>
        <v>49.714701267633103</v>
      </c>
    </row>
    <row r="37" spans="4:22" x14ac:dyDescent="0.25">
      <c r="H37" t="s">
        <v>57</v>
      </c>
      <c r="I37">
        <f>(I35-I36)^2</f>
        <v>2.2658412640677894</v>
      </c>
      <c r="J37">
        <f t="shared" ref="J37:O37" si="11">(J35-J36)^2</f>
        <v>0.69592672350497708</v>
      </c>
      <c r="K37">
        <f t="shared" si="11"/>
        <v>2.3622609631579676</v>
      </c>
      <c r="L37">
        <f t="shared" si="11"/>
        <v>9.3098583550887043E-2</v>
      </c>
      <c r="M37">
        <f t="shared" si="11"/>
        <v>0.46360861158072064</v>
      </c>
      <c r="N37">
        <f t="shared" si="11"/>
        <v>0.79824648903378603</v>
      </c>
      <c r="O37">
        <f t="shared" si="11"/>
        <v>10.987244493648509</v>
      </c>
    </row>
    <row r="39" spans="4:22" x14ac:dyDescent="0.25">
      <c r="H39" t="s">
        <v>74</v>
      </c>
      <c r="I39">
        <f>SUM(I37:O37)</f>
        <v>17.666227128544637</v>
      </c>
      <c r="U39" s="1">
        <f>AVERAGE(U4:U33)</f>
        <v>3.1772606470331519E-2</v>
      </c>
    </row>
    <row r="43" spans="4:22" x14ac:dyDescent="0.25">
      <c r="D43" s="7"/>
      <c r="K43" s="3"/>
    </row>
    <row r="44" spans="4:22" x14ac:dyDescent="0.25">
      <c r="D44" s="7"/>
      <c r="K44" s="3"/>
    </row>
    <row r="45" spans="4:22" x14ac:dyDescent="0.25">
      <c r="D45" s="7"/>
      <c r="K45" s="3"/>
    </row>
    <row r="46" spans="4:22" x14ac:dyDescent="0.25">
      <c r="D46" s="7"/>
      <c r="K46" s="3"/>
    </row>
    <row r="47" spans="4:22" x14ac:dyDescent="0.25">
      <c r="D47" s="7"/>
      <c r="K47" s="3"/>
    </row>
    <row r="48" spans="4:22" x14ac:dyDescent="0.25">
      <c r="D48" s="7"/>
      <c r="K48" s="3"/>
    </row>
    <row r="49" spans="4:11" x14ac:dyDescent="0.25">
      <c r="D49" s="7"/>
      <c r="K49" s="3"/>
    </row>
  </sheetData>
  <autoFilter ref="A3:F10" xr:uid="{3123E469-286C-43A5-8CF5-131E56FEC6E0}">
    <sortState xmlns:xlrd2="http://schemas.microsoft.com/office/spreadsheetml/2017/richdata2" ref="A4:F10">
      <sortCondition ref="D3:D10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11FC-8704-4E90-81F6-B613C1F2A182}">
  <dimension ref="A1:X49"/>
  <sheetViews>
    <sheetView topLeftCell="B1" workbookViewId="0">
      <selection activeCell="U39" sqref="U39"/>
    </sheetView>
  </sheetViews>
  <sheetFormatPr defaultRowHeight="15" x14ac:dyDescent="0.25"/>
  <cols>
    <col min="1" max="1" width="13.5703125" bestFit="1" customWidth="1"/>
    <col min="2" max="2" width="11.5703125" bestFit="1" customWidth="1"/>
    <col min="4" max="4" width="10.42578125" bestFit="1" customWidth="1"/>
    <col min="6" max="6" width="19.42578125" bestFit="1" customWidth="1"/>
    <col min="8" max="8" width="10.42578125" bestFit="1" customWidth="1"/>
    <col min="9" max="15" width="13.5703125" bestFit="1" customWidth="1"/>
    <col min="24" max="24" width="10.140625" bestFit="1" customWidth="1"/>
  </cols>
  <sheetData>
    <row r="1" spans="1:24" x14ac:dyDescent="0.25">
      <c r="A1" t="s">
        <v>27</v>
      </c>
      <c r="B1" s="7">
        <v>45383</v>
      </c>
      <c r="H1" t="s">
        <v>28</v>
      </c>
      <c r="I1" s="8" cm="1">
        <f t="array" ref="I1:O1">TRANSPOSE(B4:B10)</f>
        <v>0</v>
      </c>
      <c r="J1" s="8">
        <v>1.7500000000000002E-2</v>
      </c>
      <c r="K1" s="8">
        <v>2.2499999999999999E-2</v>
      </c>
      <c r="L1" s="8">
        <v>5.0000000000000001E-3</v>
      </c>
      <c r="M1" s="8">
        <v>5.0000000000000001E-3</v>
      </c>
      <c r="N1" s="8">
        <v>2.2499999999999999E-2</v>
      </c>
      <c r="O1" s="8">
        <v>2.5000000000000001E-3</v>
      </c>
      <c r="X1" t="s">
        <v>72</v>
      </c>
    </row>
    <row r="2" spans="1:24" x14ac:dyDescent="0.25">
      <c r="H2" t="s">
        <v>25</v>
      </c>
      <c r="I2" s="7" cm="1">
        <f t="array" ref="I2:O2">TRANSPOSE(D4:D10)</f>
        <v>45611</v>
      </c>
      <c r="J2" s="7">
        <v>45976</v>
      </c>
      <c r="K2" s="7">
        <v>46341</v>
      </c>
      <c r="L2" s="7">
        <v>46706</v>
      </c>
      <c r="M2" s="7">
        <v>47437</v>
      </c>
      <c r="N2" s="7">
        <v>48898</v>
      </c>
      <c r="O2" s="7">
        <v>55838</v>
      </c>
      <c r="Q2" t="s">
        <v>31</v>
      </c>
      <c r="W2" t="s">
        <v>64</v>
      </c>
      <c r="X2" s="13">
        <v>1.0172189450599899E-2</v>
      </c>
    </row>
    <row r="3" spans="1:24" x14ac:dyDescent="0.25">
      <c r="A3" t="s">
        <v>33</v>
      </c>
      <c r="B3" t="s">
        <v>26</v>
      </c>
      <c r="C3" s="10" t="s">
        <v>34</v>
      </c>
      <c r="D3" t="s">
        <v>35</v>
      </c>
      <c r="E3" t="s">
        <v>36</v>
      </c>
      <c r="F3" t="s">
        <v>37</v>
      </c>
      <c r="H3" t="s">
        <v>38</v>
      </c>
      <c r="I3" t="str" cm="1">
        <f t="array" ref="I3:O3">TRANSPOSE(A4:A10)</f>
        <v>DK0009924292</v>
      </c>
      <c r="J3" t="str">
        <v>DK0009923138</v>
      </c>
      <c r="K3" t="str">
        <v>DK0009924888</v>
      </c>
      <c r="L3" t="str">
        <v>DK0009923567</v>
      </c>
      <c r="M3" t="str">
        <v>DK0009923807</v>
      </c>
      <c r="N3" t="str">
        <v>DK0009924532</v>
      </c>
      <c r="O3" t="str">
        <v>DK0009924029</v>
      </c>
      <c r="Q3" t="s">
        <v>6</v>
      </c>
      <c r="R3" t="s">
        <v>70</v>
      </c>
      <c r="S3" t="s">
        <v>71</v>
      </c>
      <c r="T3" t="s">
        <v>40</v>
      </c>
      <c r="U3" t="s">
        <v>39</v>
      </c>
      <c r="W3" t="s">
        <v>65</v>
      </c>
      <c r="X3" s="13">
        <v>3.4221073094520403E-2</v>
      </c>
    </row>
    <row r="4" spans="1:24" x14ac:dyDescent="0.25">
      <c r="A4" t="s">
        <v>42</v>
      </c>
      <c r="B4" s="12">
        <v>0</v>
      </c>
      <c r="C4" s="4">
        <v>96.38</v>
      </c>
      <c r="D4" s="7">
        <v>45611</v>
      </c>
      <c r="E4" s="6">
        <f t="shared" ref="E4:E10" si="0">(1-($H$4-$B$1)/365)*B4*100</f>
        <v>0</v>
      </c>
      <c r="F4" s="6">
        <f t="shared" ref="F4:F10" si="1">C4+E4</f>
        <v>96.38</v>
      </c>
      <c r="H4" s="7">
        <v>45611</v>
      </c>
      <c r="I4">
        <f>IF($H4&gt;I$2,0,IF($H4=I$2,1+I$1,I$1)*100)</f>
        <v>100</v>
      </c>
      <c r="J4">
        <f t="shared" ref="J4:O19" si="2">IF($H4&gt;J$2,0,IF($H4=J$2,1+J$1,J$1)*100)</f>
        <v>1.7500000000000002</v>
      </c>
      <c r="K4">
        <f t="shared" si="2"/>
        <v>2.25</v>
      </c>
      <c r="L4">
        <f t="shared" si="2"/>
        <v>0.5</v>
      </c>
      <c r="M4">
        <f t="shared" si="2"/>
        <v>0.5</v>
      </c>
      <c r="N4">
        <f t="shared" si="2"/>
        <v>2.25</v>
      </c>
      <c r="O4">
        <f t="shared" si="2"/>
        <v>0.25</v>
      </c>
      <c r="Q4" s="11">
        <f t="shared" ref="Q4:Q33" si="3">(H4-$B$1)/365</f>
        <v>0.62465753424657533</v>
      </c>
      <c r="R4" s="14">
        <f>((2*$X$6*EXP(($X$2+$X$6)*Q4/2))/(2*$X$6+($X$2+$X$6)*(EXP($X$6*Q4)-1)))^((2*$X$2*$X$3)/$X$4^2)</f>
        <v>0.99993223501890538</v>
      </c>
      <c r="S4" s="15">
        <f>(2*(EXP($X$6*Q4)-1))/(2*$X$6+($X$2+$X$6)*(EXP($X$6*Q4)-1))</f>
        <v>0.62261228301210714</v>
      </c>
      <c r="T4">
        <f>R4*EXP(-S4*$X$5)</f>
        <v>0.97885262679192309</v>
      </c>
      <c r="U4" s="12">
        <f>-1/Q4*LN(T4)</f>
        <v>3.4217440825367242E-2</v>
      </c>
      <c r="V4" s="12"/>
      <c r="W4" t="s">
        <v>66</v>
      </c>
      <c r="X4" s="13">
        <v>4.0090129833828703E-2</v>
      </c>
    </row>
    <row r="5" spans="1:24" x14ac:dyDescent="0.25">
      <c r="A5" t="s">
        <v>44</v>
      </c>
      <c r="B5" s="12">
        <v>1.7500000000000002E-2</v>
      </c>
      <c r="C5" s="4">
        <v>97.13</v>
      </c>
      <c r="D5" s="7">
        <v>45976</v>
      </c>
      <c r="E5" s="6">
        <f t="shared" si="0"/>
        <v>0.6568493150684932</v>
      </c>
      <c r="F5" s="6">
        <f t="shared" si="1"/>
        <v>97.786849315068494</v>
      </c>
      <c r="H5" s="7">
        <f>DATE(YEAR(H4)+1,MONTH(H4),DAY(H4))</f>
        <v>45976</v>
      </c>
      <c r="I5">
        <f t="shared" ref="I5:O33" si="4">IF($H5&gt;I$2,0,IF($H5=I$2,1+I$1,I$1)*100)</f>
        <v>0</v>
      </c>
      <c r="J5">
        <f t="shared" si="2"/>
        <v>101.75</v>
      </c>
      <c r="K5">
        <f t="shared" si="2"/>
        <v>2.25</v>
      </c>
      <c r="L5">
        <f t="shared" si="2"/>
        <v>0.5</v>
      </c>
      <c r="M5">
        <f t="shared" si="2"/>
        <v>0.5</v>
      </c>
      <c r="N5">
        <f t="shared" si="2"/>
        <v>2.25</v>
      </c>
      <c r="O5">
        <f t="shared" si="2"/>
        <v>0.25</v>
      </c>
      <c r="Q5" s="11">
        <f t="shared" si="3"/>
        <v>1.6246575342465754</v>
      </c>
      <c r="R5" s="14">
        <f t="shared" ref="R5:R33" si="5">((2*$X$6*EXP(($X$2+$X$6)*Q5/2))/(2*$X$6+($X$2+$X$6)*(EXP($X$6*Q5)-1)))^((2*$X$2*$X$3)/$X$4^2)</f>
        <v>0.99954337349292277</v>
      </c>
      <c r="S5" s="15">
        <f t="shared" ref="S5:S33" si="6">(2*(EXP($X$6*Q5)-1))/(2*$X$6+($X$2+$X$6)*(EXP($X$6*Q5)-1))</f>
        <v>1.6101774323868214</v>
      </c>
      <c r="T5">
        <f t="shared" ref="T5:T33" si="7">R5*EXP(-S5*$X$5)</f>
        <v>0.94595657697038005</v>
      </c>
      <c r="U5" s="12">
        <f t="shared" ref="U5:U33" si="8">-1/Q5*LN(T5)</f>
        <v>3.4197122492145827E-2</v>
      </c>
      <c r="V5" s="12"/>
      <c r="W5" t="s">
        <v>69</v>
      </c>
      <c r="X5" s="13">
        <v>3.4221000000000001E-2</v>
      </c>
    </row>
    <row r="6" spans="1:24" x14ac:dyDescent="0.25">
      <c r="A6" t="s">
        <v>46</v>
      </c>
      <c r="B6" s="12">
        <v>2.2499999999999999E-2</v>
      </c>
      <c r="C6" s="4">
        <v>99.35</v>
      </c>
      <c r="D6" s="7">
        <v>46341</v>
      </c>
      <c r="E6" s="6">
        <f t="shared" si="0"/>
        <v>0.84452054794520548</v>
      </c>
      <c r="F6" s="6">
        <f t="shared" si="1"/>
        <v>100.1945205479452</v>
      </c>
      <c r="H6" s="7">
        <f t="shared" ref="H6:H33" si="9">DATE(YEAR(H5)+1,MONTH(H5),DAY(H5))</f>
        <v>46341</v>
      </c>
      <c r="I6">
        <f t="shared" si="4"/>
        <v>0</v>
      </c>
      <c r="J6">
        <f t="shared" si="2"/>
        <v>0</v>
      </c>
      <c r="K6">
        <f t="shared" si="2"/>
        <v>102.25</v>
      </c>
      <c r="L6">
        <f t="shared" si="2"/>
        <v>0.5</v>
      </c>
      <c r="M6">
        <f t="shared" si="2"/>
        <v>0.5</v>
      </c>
      <c r="N6">
        <f t="shared" si="2"/>
        <v>2.25</v>
      </c>
      <c r="O6">
        <f t="shared" si="2"/>
        <v>0.25</v>
      </c>
      <c r="Q6" s="11">
        <f t="shared" si="3"/>
        <v>2.6246575342465754</v>
      </c>
      <c r="R6" s="14">
        <f t="shared" si="5"/>
        <v>0.99881337419029403</v>
      </c>
      <c r="S6" s="15">
        <f t="shared" si="6"/>
        <v>2.5852244822780195</v>
      </c>
      <c r="T6">
        <f t="shared" si="7"/>
        <v>0.91424535976977106</v>
      </c>
      <c r="U6" s="12">
        <f t="shared" si="8"/>
        <v>3.4159236489241893E-2</v>
      </c>
      <c r="V6" s="12"/>
      <c r="W6" t="s">
        <v>73</v>
      </c>
      <c r="X6">
        <f>SQRT(X2^2+2*X4^2)</f>
        <v>5.7601306047739755E-2</v>
      </c>
    </row>
    <row r="7" spans="1:24" x14ac:dyDescent="0.25">
      <c r="A7" t="s">
        <v>48</v>
      </c>
      <c r="B7" s="12">
        <v>5.0000000000000001E-3</v>
      </c>
      <c r="C7" s="4">
        <v>90.54</v>
      </c>
      <c r="D7" s="7">
        <v>46706</v>
      </c>
      <c r="E7" s="6">
        <f t="shared" si="0"/>
        <v>0.18767123287671234</v>
      </c>
      <c r="F7" s="6">
        <f t="shared" si="1"/>
        <v>90.727671232876716</v>
      </c>
      <c r="H7" s="7">
        <f t="shared" si="9"/>
        <v>46706</v>
      </c>
      <c r="I7">
        <f t="shared" si="4"/>
        <v>0</v>
      </c>
      <c r="J7">
        <f t="shared" si="2"/>
        <v>0</v>
      </c>
      <c r="K7">
        <f t="shared" si="2"/>
        <v>0</v>
      </c>
      <c r="L7">
        <f t="shared" si="2"/>
        <v>100.49999999999999</v>
      </c>
      <c r="M7">
        <f t="shared" si="2"/>
        <v>0.5</v>
      </c>
      <c r="N7">
        <f t="shared" si="2"/>
        <v>2.25</v>
      </c>
      <c r="O7">
        <f t="shared" si="2"/>
        <v>0.25</v>
      </c>
      <c r="Q7" s="11">
        <f t="shared" si="3"/>
        <v>3.6246575342465754</v>
      </c>
      <c r="R7" s="14">
        <f t="shared" si="5"/>
        <v>0.99774756903354456</v>
      </c>
      <c r="S7" s="15">
        <f t="shared" si="6"/>
        <v>3.5464049964038056</v>
      </c>
      <c r="T7">
        <f t="shared" si="7"/>
        <v>0.88371868477168058</v>
      </c>
      <c r="U7" s="12">
        <f t="shared" si="8"/>
        <v>3.4104324537892104E-2</v>
      </c>
      <c r="V7" s="12"/>
    </row>
    <row r="8" spans="1:24" x14ac:dyDescent="0.25">
      <c r="A8" t="s">
        <v>50</v>
      </c>
      <c r="B8" s="12">
        <v>5.0000000000000001E-3</v>
      </c>
      <c r="C8" s="4">
        <v>86</v>
      </c>
      <c r="D8" s="7">
        <v>47437</v>
      </c>
      <c r="E8" s="6">
        <f t="shared" si="0"/>
        <v>0.18767123287671234</v>
      </c>
      <c r="F8" s="6">
        <f t="shared" si="1"/>
        <v>86.18767123287671</v>
      </c>
      <c r="H8" s="7">
        <f t="shared" si="9"/>
        <v>47072</v>
      </c>
      <c r="I8">
        <f t="shared" si="4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0.5</v>
      </c>
      <c r="N8">
        <f t="shared" si="2"/>
        <v>2.25</v>
      </c>
      <c r="O8">
        <f t="shared" si="2"/>
        <v>0.25</v>
      </c>
      <c r="Q8" s="11">
        <f t="shared" si="3"/>
        <v>4.6273972602739724</v>
      </c>
      <c r="R8" s="14">
        <f t="shared" si="5"/>
        <v>0.99634779546509111</v>
      </c>
      <c r="S8" s="15">
        <f t="shared" si="6"/>
        <v>4.4950239161896661</v>
      </c>
      <c r="T8">
        <f t="shared" si="7"/>
        <v>0.85429124797345046</v>
      </c>
      <c r="U8" s="12">
        <f t="shared" si="8"/>
        <v>3.4032760684898064E-2</v>
      </c>
      <c r="V8" s="12"/>
    </row>
    <row r="9" spans="1:24" x14ac:dyDescent="0.25">
      <c r="A9" t="s">
        <v>52</v>
      </c>
      <c r="B9" s="12">
        <v>2.2499999999999999E-2</v>
      </c>
      <c r="C9" s="4">
        <v>92.4</v>
      </c>
      <c r="D9" s="7">
        <v>48898</v>
      </c>
      <c r="E9" s="6">
        <f t="shared" si="0"/>
        <v>0.84452054794520548</v>
      </c>
      <c r="F9" s="6">
        <f t="shared" si="1"/>
        <v>93.244520547945214</v>
      </c>
      <c r="H9" s="7">
        <f t="shared" si="9"/>
        <v>47437</v>
      </c>
      <c r="I9">
        <f t="shared" si="4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100.49999999999999</v>
      </c>
      <c r="N9">
        <f t="shared" si="2"/>
        <v>2.25</v>
      </c>
      <c r="O9">
        <f t="shared" si="2"/>
        <v>0.25</v>
      </c>
      <c r="Q9" s="11">
        <f t="shared" si="3"/>
        <v>5.6273972602739724</v>
      </c>
      <c r="R9" s="14">
        <f t="shared" si="5"/>
        <v>0.99462855134344619</v>
      </c>
      <c r="S9" s="15">
        <f t="shared" si="6"/>
        <v>5.4247187247357447</v>
      </c>
      <c r="T9">
        <f t="shared" si="7"/>
        <v>0.82611174819930611</v>
      </c>
      <c r="U9" s="12">
        <f t="shared" si="8"/>
        <v>3.3945573308542656E-2</v>
      </c>
      <c r="V9" s="12"/>
    </row>
    <row r="10" spans="1:24" x14ac:dyDescent="0.25">
      <c r="A10" t="s">
        <v>54</v>
      </c>
      <c r="B10" s="12">
        <v>2.5000000000000001E-3</v>
      </c>
      <c r="C10" s="4">
        <v>46.4</v>
      </c>
      <c r="D10" s="7">
        <v>55838</v>
      </c>
      <c r="E10" s="6">
        <f t="shared" si="0"/>
        <v>9.3835616438356168E-2</v>
      </c>
      <c r="F10" s="6">
        <f t="shared" si="1"/>
        <v>46.493835616438353</v>
      </c>
      <c r="H10" s="7">
        <f t="shared" si="9"/>
        <v>47802</v>
      </c>
      <c r="I10">
        <f t="shared" si="4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2.25</v>
      </c>
      <c r="O10">
        <f t="shared" si="2"/>
        <v>0.25</v>
      </c>
      <c r="Q10" s="11">
        <f t="shared" si="3"/>
        <v>6.6273972602739724</v>
      </c>
      <c r="R10" s="14">
        <f t="shared" si="5"/>
        <v>0.99259396504611763</v>
      </c>
      <c r="S10" s="15">
        <f t="shared" si="6"/>
        <v>6.3370198636428112</v>
      </c>
      <c r="T10">
        <f t="shared" si="7"/>
        <v>0.7990811670772705</v>
      </c>
      <c r="U10" s="12">
        <f t="shared" si="8"/>
        <v>3.3843263612842026E-2</v>
      </c>
      <c r="V10" s="12"/>
    </row>
    <row r="11" spans="1:24" x14ac:dyDescent="0.25">
      <c r="B11" s="8"/>
      <c r="C11" s="4"/>
      <c r="D11" s="7"/>
      <c r="H11" s="7">
        <f t="shared" si="9"/>
        <v>48167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2.25</v>
      </c>
      <c r="O11">
        <f t="shared" si="2"/>
        <v>0.25</v>
      </c>
      <c r="Q11" s="11">
        <f t="shared" si="3"/>
        <v>7.6273972602739724</v>
      </c>
      <c r="R11" s="14">
        <f t="shared" si="5"/>
        <v>0.99025215331000727</v>
      </c>
      <c r="S11" s="15">
        <f t="shared" si="6"/>
        <v>7.2309412985716559</v>
      </c>
      <c r="T11">
        <f t="shared" si="7"/>
        <v>0.7731782126896547</v>
      </c>
      <c r="U11" s="12">
        <f t="shared" si="8"/>
        <v>3.3726538866570246E-2</v>
      </c>
      <c r="V11" s="12"/>
    </row>
    <row r="12" spans="1:24" x14ac:dyDescent="0.25">
      <c r="B12" s="8"/>
      <c r="C12" s="4"/>
      <c r="D12" s="7"/>
      <c r="H12" s="7">
        <f t="shared" si="9"/>
        <v>48533</v>
      </c>
      <c r="I12">
        <f t="shared" si="4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2.25</v>
      </c>
      <c r="O12">
        <f t="shared" si="2"/>
        <v>0.25</v>
      </c>
      <c r="Q12" s="11">
        <f t="shared" si="3"/>
        <v>8.6301369863013697</v>
      </c>
      <c r="R12" s="14">
        <f t="shared" si="5"/>
        <v>0.98760414994875101</v>
      </c>
      <c r="S12" s="15">
        <f t="shared" si="6"/>
        <v>8.1079650863313066</v>
      </c>
      <c r="T12">
        <f t="shared" si="7"/>
        <v>0.74831146345321908</v>
      </c>
      <c r="U12" s="12">
        <f t="shared" si="8"/>
        <v>3.3595757882554741E-2</v>
      </c>
      <c r="V12" s="12"/>
    </row>
    <row r="13" spans="1:24" x14ac:dyDescent="0.25">
      <c r="H13" s="7">
        <f t="shared" si="9"/>
        <v>48898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102.25</v>
      </c>
      <c r="O13">
        <f t="shared" si="2"/>
        <v>0.25</v>
      </c>
      <c r="Q13" s="11">
        <f t="shared" si="3"/>
        <v>9.6301369863013697</v>
      </c>
      <c r="R13" s="14">
        <f t="shared" si="5"/>
        <v>0.98467360754732236</v>
      </c>
      <c r="S13" s="15">
        <f t="shared" si="6"/>
        <v>8.9625103161917803</v>
      </c>
      <c r="T13">
        <f t="shared" si="7"/>
        <v>0.72458868138119259</v>
      </c>
      <c r="U13" s="12">
        <f t="shared" si="8"/>
        <v>3.3452392381088041E-2</v>
      </c>
      <c r="V13" s="12"/>
    </row>
    <row r="14" spans="1:24" x14ac:dyDescent="0.25">
      <c r="H14" s="7">
        <f t="shared" si="9"/>
        <v>49263</v>
      </c>
      <c r="I14">
        <f t="shared" si="4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0.25</v>
      </c>
      <c r="Q14" s="11">
        <f t="shared" si="3"/>
        <v>10.63013698630137</v>
      </c>
      <c r="R14" s="14">
        <f t="shared" si="5"/>
        <v>0.98146328784957659</v>
      </c>
      <c r="S14" s="15">
        <f t="shared" si="6"/>
        <v>9.7963140866930942</v>
      </c>
      <c r="T14">
        <f t="shared" si="7"/>
        <v>0.7019098272254678</v>
      </c>
      <c r="U14" s="12">
        <f t="shared" si="8"/>
        <v>3.329687424619153E-2</v>
      </c>
      <c r="V14" s="12"/>
    </row>
    <row r="15" spans="1:24" x14ac:dyDescent="0.25">
      <c r="H15" s="7">
        <f t="shared" si="9"/>
        <v>49628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0.25</v>
      </c>
      <c r="Q15" s="11">
        <f t="shared" si="3"/>
        <v>11.63013698630137</v>
      </c>
      <c r="R15" s="14">
        <f t="shared" si="5"/>
        <v>0.97798315028399319</v>
      </c>
      <c r="S15" s="15">
        <f t="shared" si="6"/>
        <v>10.608790427341175</v>
      </c>
      <c r="T15">
        <f t="shared" si="7"/>
        <v>0.68024227666256964</v>
      </c>
      <c r="U15" s="12">
        <f t="shared" si="8"/>
        <v>3.3129984239402104E-2</v>
      </c>
      <c r="V15" s="12"/>
    </row>
    <row r="16" spans="1:24" x14ac:dyDescent="0.25">
      <c r="H16" s="7">
        <f t="shared" si="9"/>
        <v>49994</v>
      </c>
      <c r="I16">
        <f t="shared" si="4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0.25</v>
      </c>
      <c r="Q16" s="11">
        <f t="shared" si="3"/>
        <v>12.632876712328768</v>
      </c>
      <c r="R16" s="14">
        <f t="shared" si="5"/>
        <v>0.97423286791902575</v>
      </c>
      <c r="S16" s="15">
        <f t="shared" si="6"/>
        <v>11.401587673031189</v>
      </c>
      <c r="T16">
        <f t="shared" si="7"/>
        <v>0.65949647515081189</v>
      </c>
      <c r="U16" s="12">
        <f t="shared" si="8"/>
        <v>3.2952007768936656E-2</v>
      </c>
      <c r="V16" s="12"/>
    </row>
    <row r="17" spans="8:22" x14ac:dyDescent="0.25">
      <c r="H17" s="7">
        <f t="shared" si="9"/>
        <v>50359</v>
      </c>
      <c r="I17">
        <f t="shared" si="4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0.25</v>
      </c>
      <c r="Q17" s="11">
        <f t="shared" si="3"/>
        <v>13.632876712328768</v>
      </c>
      <c r="R17" s="14">
        <f t="shared" si="5"/>
        <v>0.97024347036602199</v>
      </c>
      <c r="S17" s="15">
        <f t="shared" si="6"/>
        <v>12.169981497374842</v>
      </c>
      <c r="T17">
        <f t="shared" si="7"/>
        <v>0.63975040209444234</v>
      </c>
      <c r="U17" s="12">
        <f t="shared" si="8"/>
        <v>3.2764704387035708E-2</v>
      </c>
      <c r="V17" s="12"/>
    </row>
    <row r="18" spans="8:22" x14ac:dyDescent="0.25">
      <c r="H18" s="7">
        <f t="shared" si="9"/>
        <v>50724</v>
      </c>
      <c r="I18">
        <f t="shared" si="4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0.25</v>
      </c>
      <c r="Q18" s="11">
        <f t="shared" si="3"/>
        <v>14.632876712328768</v>
      </c>
      <c r="R18" s="14">
        <f t="shared" si="5"/>
        <v>0.9660157620847788</v>
      </c>
      <c r="S18" s="15">
        <f t="shared" si="6"/>
        <v>12.915870212832775</v>
      </c>
      <c r="T18">
        <f t="shared" si="7"/>
        <v>0.62091000775501792</v>
      </c>
      <c r="U18" s="12">
        <f t="shared" si="8"/>
        <v>3.2568382278285082E-2</v>
      </c>
      <c r="V18" s="12"/>
    </row>
    <row r="19" spans="8:22" x14ac:dyDescent="0.25">
      <c r="H19" s="7">
        <f t="shared" si="9"/>
        <v>51089</v>
      </c>
      <c r="I19">
        <f t="shared" si="4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0.25</v>
      </c>
      <c r="Q19" s="11">
        <f t="shared" si="3"/>
        <v>15.632876712328768</v>
      </c>
      <c r="R19" s="14">
        <f t="shared" si="5"/>
        <v>0.96156057517048843</v>
      </c>
      <c r="S19" s="15">
        <f t="shared" si="6"/>
        <v>13.63904553396214</v>
      </c>
      <c r="T19">
        <f t="shared" si="7"/>
        <v>0.60293885274800396</v>
      </c>
      <c r="U19" s="12">
        <f t="shared" si="8"/>
        <v>3.2363812609047179E-2</v>
      </c>
      <c r="V19" s="12"/>
    </row>
    <row r="20" spans="8:22" x14ac:dyDescent="0.25">
      <c r="H20" s="7">
        <f t="shared" si="9"/>
        <v>51455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0.25</v>
      </c>
      <c r="Q20" s="11">
        <f t="shared" si="3"/>
        <v>16.635616438356163</v>
      </c>
      <c r="R20" s="14">
        <f t="shared" si="5"/>
        <v>0.95687573325104758</v>
      </c>
      <c r="S20" s="15">
        <f t="shared" si="6"/>
        <v>14.341271974632246</v>
      </c>
      <c r="T20">
        <f t="shared" si="7"/>
        <v>0.58575456129840076</v>
      </c>
      <c r="U20" s="12">
        <f t="shared" si="8"/>
        <v>3.2151162927966062E-2</v>
      </c>
      <c r="V20" s="12"/>
    </row>
    <row r="21" spans="8:22" x14ac:dyDescent="0.25">
      <c r="H21" s="7">
        <f t="shared" si="9"/>
        <v>51820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0.25</v>
      </c>
      <c r="Q21" s="11">
        <f t="shared" si="3"/>
        <v>17.635616438356163</v>
      </c>
      <c r="R21" s="14">
        <f t="shared" si="5"/>
        <v>0.95199779979080046</v>
      </c>
      <c r="S21" s="15">
        <f t="shared" si="6"/>
        <v>15.018670386016927</v>
      </c>
      <c r="T21">
        <f t="shared" si="7"/>
        <v>0.56941459363613101</v>
      </c>
      <c r="U21" s="12">
        <f t="shared" si="8"/>
        <v>3.1932338548293838E-2</v>
      </c>
      <c r="V21" s="12"/>
    </row>
    <row r="22" spans="8:22" x14ac:dyDescent="0.25">
      <c r="H22" s="7">
        <f t="shared" si="9"/>
        <v>52185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0.25</v>
      </c>
      <c r="Q22" s="11">
        <f t="shared" si="3"/>
        <v>18.635616438356163</v>
      </c>
      <c r="R22" s="14">
        <f t="shared" si="5"/>
        <v>0.94692518507130341</v>
      </c>
      <c r="S22" s="15">
        <f t="shared" si="6"/>
        <v>15.673225140590445</v>
      </c>
      <c r="T22">
        <f t="shared" si="7"/>
        <v>0.55383491251708206</v>
      </c>
      <c r="U22" s="12">
        <f t="shared" si="8"/>
        <v>3.1707490355590846E-2</v>
      </c>
      <c r="V22" s="12"/>
    </row>
    <row r="23" spans="8:22" x14ac:dyDescent="0.25">
      <c r="H23" s="7">
        <f t="shared" si="9"/>
        <v>52550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0.25</v>
      </c>
      <c r="Q23" s="11">
        <f t="shared" si="3"/>
        <v>19.635616438356163</v>
      </c>
      <c r="R23" s="14">
        <f t="shared" si="5"/>
        <v>0.94166874450567384</v>
      </c>
      <c r="S23" s="15">
        <f t="shared" si="6"/>
        <v>16.305041540187489</v>
      </c>
      <c r="T23">
        <f t="shared" si="7"/>
        <v>0.53898014576649711</v>
      </c>
      <c r="U23" s="12">
        <f t="shared" si="8"/>
        <v>3.1477318066615356E-2</v>
      </c>
      <c r="V23" s="12"/>
    </row>
    <row r="24" spans="8:22" x14ac:dyDescent="0.25">
      <c r="H24" s="7">
        <f t="shared" si="9"/>
        <v>52916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0.25</v>
      </c>
      <c r="Q24" s="11">
        <f t="shared" si="3"/>
        <v>20.638356164383563</v>
      </c>
      <c r="R24" s="14">
        <f t="shared" si="5"/>
        <v>0.93622412655580012</v>
      </c>
      <c r="S24" s="15">
        <f t="shared" si="6"/>
        <v>16.915928845404018</v>
      </c>
      <c r="T24">
        <f t="shared" si="7"/>
        <v>0.52477778076046011</v>
      </c>
      <c r="U24" s="12">
        <f t="shared" si="8"/>
        <v>3.124184773258527E-2</v>
      </c>
      <c r="V24" s="12"/>
    </row>
    <row r="25" spans="8:22" x14ac:dyDescent="0.25">
      <c r="H25" s="7">
        <f t="shared" si="9"/>
        <v>53281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0.25</v>
      </c>
      <c r="Q25" s="11">
        <f t="shared" si="3"/>
        <v>21.638356164383563</v>
      </c>
      <c r="R25" s="14">
        <f t="shared" si="5"/>
        <v>0.93063171882337858</v>
      </c>
      <c r="S25" s="15">
        <f t="shared" si="6"/>
        <v>17.50278053292967</v>
      </c>
      <c r="T25">
        <f t="shared" si="7"/>
        <v>0.51127160748034661</v>
      </c>
      <c r="U25" s="12">
        <f t="shared" si="8"/>
        <v>3.1003016282826659E-2</v>
      </c>
      <c r="V25" s="12"/>
    </row>
    <row r="26" spans="8:22" x14ac:dyDescent="0.25">
      <c r="H26" s="7">
        <f t="shared" si="9"/>
        <v>53646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0.25</v>
      </c>
      <c r="Q26" s="11">
        <f t="shared" si="3"/>
        <v>22.638356164383563</v>
      </c>
      <c r="R26" s="14">
        <f t="shared" si="5"/>
        <v>0.92488731531142199</v>
      </c>
      <c r="S26" s="15">
        <f t="shared" si="6"/>
        <v>18.067582433224139</v>
      </c>
      <c r="T26">
        <f t="shared" si="7"/>
        <v>0.49838913643680688</v>
      </c>
      <c r="U26" s="12">
        <f t="shared" si="8"/>
        <v>3.076080717019684E-2</v>
      </c>
      <c r="V26" s="12"/>
    </row>
    <row r="27" spans="8:22" x14ac:dyDescent="0.25">
      <c r="H27" s="7">
        <f t="shared" si="9"/>
        <v>54011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0.25</v>
      </c>
      <c r="Q27" s="11">
        <f t="shared" si="3"/>
        <v>23.638356164383563</v>
      </c>
      <c r="R27" s="14">
        <f t="shared" si="5"/>
        <v>0.91900115116971859</v>
      </c>
      <c r="S27" s="15">
        <f t="shared" si="6"/>
        <v>18.610669757622908</v>
      </c>
      <c r="T27">
        <f t="shared" si="7"/>
        <v>0.48609867837409548</v>
      </c>
      <c r="U27" s="12">
        <f t="shared" si="8"/>
        <v>3.0515812045201429E-2</v>
      </c>
      <c r="V27" s="12"/>
    </row>
    <row r="28" spans="8:22" x14ac:dyDescent="0.25">
      <c r="H28" s="7">
        <f t="shared" si="9"/>
        <v>54377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0.25</v>
      </c>
      <c r="Q28" s="11">
        <f t="shared" si="3"/>
        <v>24.641095890410959</v>
      </c>
      <c r="R28" s="14">
        <f t="shared" si="5"/>
        <v>0.91296657364154099</v>
      </c>
      <c r="S28" s="15">
        <f t="shared" si="6"/>
        <v>19.133822209994431</v>
      </c>
      <c r="T28">
        <f t="shared" si="7"/>
        <v>0.47433828022425173</v>
      </c>
      <c r="U28" s="12">
        <f t="shared" si="8"/>
        <v>3.0267912749790696E-2</v>
      </c>
      <c r="V28" s="12"/>
    </row>
    <row r="29" spans="8:22" x14ac:dyDescent="0.25">
      <c r="H29" s="7">
        <f t="shared" si="9"/>
        <v>54742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0.25</v>
      </c>
      <c r="Q29" s="11">
        <f t="shared" si="3"/>
        <v>25.641095890410959</v>
      </c>
      <c r="R29" s="14">
        <f t="shared" si="5"/>
        <v>0.90682633630119991</v>
      </c>
      <c r="S29" s="15">
        <f t="shared" si="6"/>
        <v>19.634599989596399</v>
      </c>
      <c r="T29">
        <f t="shared" si="7"/>
        <v>0.46314274684416062</v>
      </c>
      <c r="U29" s="12">
        <f t="shared" si="8"/>
        <v>3.0018996348059986E-2</v>
      </c>
      <c r="V29" s="12"/>
    </row>
    <row r="30" spans="8:22" x14ac:dyDescent="0.25">
      <c r="H30" s="7">
        <f t="shared" si="9"/>
        <v>55107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>
        <f t="shared" si="4"/>
        <v>0</v>
      </c>
      <c r="O30">
        <f t="shared" si="4"/>
        <v>0.25</v>
      </c>
      <c r="Q30" s="11">
        <f t="shared" si="3"/>
        <v>26.641095890410959</v>
      </c>
      <c r="R30" s="14">
        <f t="shared" si="5"/>
        <v>0.90057361234809008</v>
      </c>
      <c r="S30" s="15">
        <f t="shared" si="6"/>
        <v>20.114913313495794</v>
      </c>
      <c r="T30">
        <f t="shared" si="7"/>
        <v>0.4524509949658303</v>
      </c>
      <c r="U30" s="12">
        <f t="shared" si="8"/>
        <v>2.9768888764458188E-2</v>
      </c>
      <c r="V30" s="12"/>
    </row>
    <row r="31" spans="8:22" x14ac:dyDescent="0.25">
      <c r="H31" s="7">
        <f t="shared" si="9"/>
        <v>55472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0.25</v>
      </c>
      <c r="Q31" s="11">
        <f t="shared" si="3"/>
        <v>27.641095890410959</v>
      </c>
      <c r="R31" s="14">
        <f t="shared" si="5"/>
        <v>0.89421760114429916</v>
      </c>
      <c r="S31" s="15">
        <f t="shared" si="6"/>
        <v>20.575242912218108</v>
      </c>
      <c r="T31">
        <f t="shared" si="7"/>
        <v>0.44223603685978857</v>
      </c>
      <c r="U31" s="12">
        <f t="shared" si="8"/>
        <v>2.9518059726448078E-2</v>
      </c>
      <c r="V31" s="12"/>
    </row>
    <row r="32" spans="8:22" x14ac:dyDescent="0.25">
      <c r="H32" s="7">
        <f t="shared" si="9"/>
        <v>55838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100.25</v>
      </c>
      <c r="Q32" s="11">
        <f t="shared" si="3"/>
        <v>28.643835616438356</v>
      </c>
      <c r="R32" s="14">
        <f t="shared" si="5"/>
        <v>0.8877494093305941</v>
      </c>
      <c r="S32" s="15">
        <f t="shared" si="6"/>
        <v>21.01727540882468</v>
      </c>
      <c r="T32">
        <f t="shared" si="7"/>
        <v>0.43244594015661708</v>
      </c>
      <c r="U32" s="12">
        <f t="shared" si="8"/>
        <v>2.9266260479411138E-2</v>
      </c>
      <c r="V32" s="12"/>
    </row>
    <row r="33" spans="4:22" x14ac:dyDescent="0.25">
      <c r="H33" s="7">
        <f t="shared" si="9"/>
        <v>56203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0</v>
      </c>
      <c r="Q33" s="11">
        <f t="shared" si="3"/>
        <v>29.643835616438356</v>
      </c>
      <c r="R33" s="14">
        <f t="shared" si="5"/>
        <v>0.88121299328057312</v>
      </c>
      <c r="S33" s="15">
        <f t="shared" si="6"/>
        <v>21.439121679572299</v>
      </c>
      <c r="T33">
        <f t="shared" si="7"/>
        <v>0.42310957024165086</v>
      </c>
      <c r="U33" s="12">
        <f t="shared" si="8"/>
        <v>2.9015277014205698E-2</v>
      </c>
      <c r="V33" s="12"/>
    </row>
    <row r="35" spans="4:22" x14ac:dyDescent="0.25">
      <c r="H35" t="s">
        <v>55</v>
      </c>
      <c r="I35" cm="1">
        <f t="array" ref="I35:O35">TRANSPOSE(C4:C10)</f>
        <v>96.38</v>
      </c>
      <c r="J35">
        <v>97.13</v>
      </c>
      <c r="K35">
        <v>99.35</v>
      </c>
      <c r="L35">
        <v>90.54</v>
      </c>
      <c r="M35">
        <v>86</v>
      </c>
      <c r="N35">
        <v>92.4</v>
      </c>
      <c r="O35">
        <v>46.4</v>
      </c>
    </row>
    <row r="36" spans="4:22" x14ac:dyDescent="0.25">
      <c r="H36" t="s">
        <v>56</v>
      </c>
      <c r="I36">
        <f t="shared" ref="I36:O36" si="10">SUMPRODUCT(I4:I33,$T$4:$T$33)</f>
        <v>97.885262679192309</v>
      </c>
      <c r="J36">
        <f t="shared" si="10"/>
        <v>97.964073803622043</v>
      </c>
      <c r="K36">
        <f t="shared" si="10"/>
        <v>97.812408744924269</v>
      </c>
      <c r="L36">
        <f t="shared" si="10"/>
        <v>90.233255101319926</v>
      </c>
      <c r="M36">
        <f t="shared" si="10"/>
        <v>85.31276294216886</v>
      </c>
      <c r="N36">
        <f t="shared" si="10"/>
        <v>91.467623618544408</v>
      </c>
      <c r="O36">
        <f t="shared" si="10"/>
        <v>47.966273772170368</v>
      </c>
    </row>
    <row r="37" spans="4:22" x14ac:dyDescent="0.25">
      <c r="H37" t="s">
        <v>57</v>
      </c>
      <c r="I37">
        <f>(I35-I36)^2</f>
        <v>2.2658157333692208</v>
      </c>
      <c r="J37">
        <f t="shared" ref="J37:O37" si="11">(J35-J36)^2</f>
        <v>0.69567910988854931</v>
      </c>
      <c r="K37">
        <f t="shared" si="11"/>
        <v>2.3641868676853428</v>
      </c>
      <c r="L37">
        <f t="shared" si="11"/>
        <v>9.4092432866252435E-2</v>
      </c>
      <c r="M37">
        <f t="shared" si="11"/>
        <v>0.47229477365640227</v>
      </c>
      <c r="N37">
        <f t="shared" si="11"/>
        <v>0.86932571669623371</v>
      </c>
      <c r="O37">
        <f t="shared" si="11"/>
        <v>2.4532135293887976</v>
      </c>
    </row>
    <row r="39" spans="4:22" x14ac:dyDescent="0.25">
      <c r="H39" t="s">
        <v>74</v>
      </c>
      <c r="I39">
        <f>SUM(I37:O37)</f>
        <v>9.2146081635507997</v>
      </c>
      <c r="U39" s="1">
        <f>AVERAGE(U4:U33)</f>
        <v>3.2166512160723033E-2</v>
      </c>
    </row>
    <row r="43" spans="4:22" x14ac:dyDescent="0.25">
      <c r="D43" s="7"/>
      <c r="K43" s="3"/>
    </row>
    <row r="44" spans="4:22" x14ac:dyDescent="0.25">
      <c r="D44" s="7"/>
      <c r="K44" s="3"/>
    </row>
    <row r="45" spans="4:22" x14ac:dyDescent="0.25">
      <c r="D45" s="7"/>
      <c r="K45" s="3"/>
    </row>
    <row r="46" spans="4:22" x14ac:dyDescent="0.25">
      <c r="D46" s="7"/>
      <c r="K46" s="3"/>
    </row>
    <row r="47" spans="4:22" x14ac:dyDescent="0.25">
      <c r="D47" s="7"/>
      <c r="K47" s="3"/>
    </row>
    <row r="48" spans="4:22" x14ac:dyDescent="0.25">
      <c r="D48" s="7"/>
      <c r="K48" s="3"/>
    </row>
    <row r="49" spans="4:11" x14ac:dyDescent="0.25">
      <c r="D49" s="7"/>
      <c r="K49" s="3"/>
    </row>
  </sheetData>
  <autoFilter ref="A3:F10" xr:uid="{3123E469-286C-43A5-8CF5-131E56FEC6E0}">
    <sortState xmlns:xlrd2="http://schemas.microsoft.com/office/spreadsheetml/2017/richdata2" ref="A4:F10">
      <sortCondition ref="D3:D10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A5A8-F7DA-4860-AED0-5D1FBDDD4F33}">
  <dimension ref="B1:AG38"/>
  <sheetViews>
    <sheetView zoomScaleNormal="100" workbookViewId="0">
      <selection activeCell="S27" sqref="S27:U29"/>
    </sheetView>
  </sheetViews>
  <sheetFormatPr defaultRowHeight="15" x14ac:dyDescent="0.25"/>
  <cols>
    <col min="5" max="5" width="9.85546875" bestFit="1" customWidth="1"/>
  </cols>
  <sheetData>
    <row r="1" spans="2:33" x14ac:dyDescent="0.25">
      <c r="C1" s="2" t="s">
        <v>83</v>
      </c>
      <c r="E1" s="19"/>
      <c r="L1" s="2" t="s">
        <v>84</v>
      </c>
      <c r="U1" s="2" t="s">
        <v>87</v>
      </c>
      <c r="AD1" s="2" t="s">
        <v>91</v>
      </c>
    </row>
    <row r="3" spans="2:33" x14ac:dyDescent="0.25">
      <c r="C3" t="s">
        <v>75</v>
      </c>
      <c r="E3" t="s">
        <v>79</v>
      </c>
      <c r="L3" t="s">
        <v>75</v>
      </c>
      <c r="N3" t="s">
        <v>79</v>
      </c>
      <c r="U3" t="s">
        <v>75</v>
      </c>
      <c r="W3" t="s">
        <v>79</v>
      </c>
      <c r="AD3" t="s">
        <v>75</v>
      </c>
      <c r="AF3" t="s">
        <v>79</v>
      </c>
    </row>
    <row r="4" spans="2:33" x14ac:dyDescent="0.25">
      <c r="B4" t="s">
        <v>76</v>
      </c>
      <c r="C4" s="5" cm="1">
        <f t="array" aca="1" ref="C4" ca="1">INDIRECT(C1&amp;"!N36")+INDIRECT(C1&amp;"!M36")+INDIRECT(C1&amp;"!J36")</f>
        <v>272.81051027976821</v>
      </c>
      <c r="D4" s="5"/>
      <c r="E4" s="5" cm="1">
        <f t="array" aca="1" ref="E4" ca="1">$E$32*(1+(INDIRECT(C1&amp;"!U39")-$F$29))</f>
        <v>4.9881149110376741</v>
      </c>
      <c r="F4" t="s">
        <v>80</v>
      </c>
      <c r="K4" t="s">
        <v>76</v>
      </c>
      <c r="L4" s="5" cm="1">
        <f t="array" aca="1" ref="L4" ca="1">INDIRECT(L1&amp;"!N36")+INDIRECT(L1&amp;"!M36")+INDIRECT(L1&amp;"!J36")</f>
        <v>274.78988771081902</v>
      </c>
      <c r="M4" s="5"/>
      <c r="N4" s="5" cm="1">
        <f t="array" aca="1" ref="N4" ca="1">$E$32*(1+(INDIRECT(L1&amp;"!U39")-$F$29))</f>
        <v>4.9813630323516573</v>
      </c>
      <c r="O4" t="s">
        <v>80</v>
      </c>
      <c r="T4" t="s">
        <v>76</v>
      </c>
      <c r="U4" s="5" cm="1">
        <f t="array" aca="1" ref="U4" ca="1">INDIRECT(U1&amp;"!N36")+INDIRECT(U1&amp;"!M36")+INDIRECT(U1&amp;"!J36")</f>
        <v>258.17728938939462</v>
      </c>
      <c r="V4" s="5"/>
      <c r="W4" s="5" cm="1">
        <f t="array" aca="1" ref="W4" ca="1">$E$32*(1+(INDIRECT(U1&amp;"!U39")-$F$29))</f>
        <v>5.0381149110376739</v>
      </c>
      <c r="X4" t="s">
        <v>80</v>
      </c>
      <c r="AC4" t="s">
        <v>76</v>
      </c>
      <c r="AD4" cm="1">
        <f t="array" aca="1" ref="AD4" ca="1">INDIRECT(AD1&amp;"!N36")+INDIRECT(AD1&amp;"!M36")+INDIRECT(AD1&amp;"!J36")</f>
        <v>261.07849594836921</v>
      </c>
      <c r="AF4" s="3" cm="1">
        <f t="array" aca="1" ref="AF4" ca="1">$E$32*(1+(INDIRECT(AD1&amp;"!U39")-$F$29))</f>
        <v>5.031363032351658</v>
      </c>
      <c r="AG4" t="s">
        <v>80</v>
      </c>
    </row>
    <row r="5" spans="2:33" x14ac:dyDescent="0.25">
      <c r="C5" s="5"/>
      <c r="D5" s="5"/>
      <c r="E5" s="5"/>
      <c r="L5" s="5"/>
      <c r="M5" s="5"/>
      <c r="N5" s="5"/>
      <c r="U5" s="5"/>
      <c r="V5" s="5"/>
      <c r="W5" s="5"/>
    </row>
    <row r="6" spans="2:33" x14ac:dyDescent="0.25">
      <c r="B6" t="s">
        <v>77</v>
      </c>
      <c r="C6" s="5" cm="1">
        <f t="array" aca="1" ref="C6" ca="1">INDIRECT(C1&amp;"!I36")+INDIRECT(C1&amp;"!K36")+INDIRECT(C1&amp;"!L36")</f>
        <v>282.86575982007764</v>
      </c>
      <c r="D6" s="5"/>
      <c r="E6" s="5" cm="1">
        <f t="array" aca="1" ref="E6" ca="1">INDIRECT(C1&amp;"!O36")</f>
        <v>47.987578079581581</v>
      </c>
      <c r="F6" t="s">
        <v>81</v>
      </c>
      <c r="K6" t="s">
        <v>77</v>
      </c>
      <c r="L6" s="5" cm="1">
        <f t="array" aca="1" ref="L6" ca="1">INDIRECT(L1&amp;"!I36")+INDIRECT(L1&amp;"!K36")+INDIRECT(L1&amp;"!L36")</f>
        <v>285.93318570048473</v>
      </c>
      <c r="M6" s="5"/>
      <c r="N6" s="5" cm="1">
        <f t="array" aca="1" ref="N6" ca="1">INDIRECT(L1&amp;"!O36")</f>
        <v>49.714701267633103</v>
      </c>
      <c r="O6" t="s">
        <v>81</v>
      </c>
      <c r="T6" t="s">
        <v>77</v>
      </c>
      <c r="U6" s="5" cm="1">
        <f t="array" aca="1" ref="U6" ca="1">INDIRECT(U1&amp;"!I36")+INDIRECT(U1&amp;"!K36")+INDIRECT(U1&amp;"!L36")</f>
        <v>275.36875528300072</v>
      </c>
      <c r="V6" s="5"/>
      <c r="W6" s="5">
        <f ca="1">E6</f>
        <v>47.987578079581581</v>
      </c>
      <c r="X6" t="s">
        <v>81</v>
      </c>
      <c r="AC6" t="s">
        <v>77</v>
      </c>
      <c r="AD6" cm="1">
        <f t="array" aca="1" ref="AD6" ca="1">INDIRECT(AD1&amp;"!I36")+INDIRECT(AD1&amp;"!K36")+INDIRECT(AD1&amp;"!L36")</f>
        <v>279.669841333563</v>
      </c>
      <c r="AF6" s="5">
        <f ca="1">N6</f>
        <v>49.714701267633103</v>
      </c>
      <c r="AG6" t="s">
        <v>81</v>
      </c>
    </row>
    <row r="7" spans="2:33" x14ac:dyDescent="0.25">
      <c r="C7" s="5"/>
      <c r="D7" s="5"/>
      <c r="E7" s="5"/>
      <c r="L7" s="5"/>
      <c r="M7" s="5"/>
      <c r="N7" s="5"/>
      <c r="U7" s="5"/>
      <c r="V7" s="5"/>
      <c r="W7" s="5"/>
    </row>
    <row r="8" spans="2:33" x14ac:dyDescent="0.25">
      <c r="B8" t="s">
        <v>96</v>
      </c>
      <c r="C8" s="5"/>
      <c r="D8" s="5"/>
      <c r="E8" s="5">
        <f ca="1">C10-E6-E4</f>
        <v>502.70057710922663</v>
      </c>
      <c r="F8" t="s">
        <v>82</v>
      </c>
      <c r="K8" t="s">
        <v>96</v>
      </c>
      <c r="L8" s="5"/>
      <c r="M8" s="5"/>
      <c r="N8" s="5">
        <f ca="1">L10-N6-N4</f>
        <v>506.02700911131893</v>
      </c>
      <c r="O8" t="s">
        <v>82</v>
      </c>
      <c r="T8" t="s">
        <v>96</v>
      </c>
      <c r="U8" s="5"/>
      <c r="V8" s="5"/>
      <c r="W8" s="5">
        <f ca="1">U10-W6-W4</f>
        <v>480.52035168177605</v>
      </c>
      <c r="X8" t="s">
        <v>82</v>
      </c>
      <c r="AC8" t="s">
        <v>96</v>
      </c>
      <c r="AF8" s="3">
        <f ca="1">AD10-AF6-AF4</f>
        <v>486.00227298194744</v>
      </c>
      <c r="AG8" t="s">
        <v>82</v>
      </c>
    </row>
    <row r="9" spans="2:33" x14ac:dyDescent="0.25">
      <c r="C9" s="5"/>
      <c r="D9" s="5"/>
      <c r="E9" s="5"/>
      <c r="L9" s="5"/>
      <c r="M9" s="5"/>
      <c r="N9" s="5"/>
      <c r="U9" s="5"/>
      <c r="V9" s="5"/>
      <c r="W9" s="5"/>
    </row>
    <row r="10" spans="2:33" x14ac:dyDescent="0.25">
      <c r="B10" t="s">
        <v>78</v>
      </c>
      <c r="C10" s="5">
        <f ca="1">SUM(C4:C9)</f>
        <v>555.67627009984585</v>
      </c>
      <c r="D10" s="5"/>
      <c r="E10" s="5">
        <f ca="1">SUM(E4:E9)</f>
        <v>555.67627009984585</v>
      </c>
      <c r="K10" t="s">
        <v>78</v>
      </c>
      <c r="L10" s="5">
        <f ca="1">SUM(L4:L9)</f>
        <v>560.72307341130374</v>
      </c>
      <c r="M10" s="5"/>
      <c r="N10" s="5">
        <f ca="1">SUM(N4:N9)</f>
        <v>560.72307341130374</v>
      </c>
      <c r="T10" t="s">
        <v>78</v>
      </c>
      <c r="U10" s="5">
        <f ca="1">SUM(U4:U9)</f>
        <v>533.54604467239528</v>
      </c>
      <c r="V10" s="5"/>
      <c r="W10" s="5">
        <f ca="1">SUM(W4:W9)</f>
        <v>533.54604467239528</v>
      </c>
      <c r="AC10" t="s">
        <v>78</v>
      </c>
      <c r="AD10">
        <f ca="1">SUM(AD4:AD9)</f>
        <v>540.74833728193221</v>
      </c>
      <c r="AF10">
        <f ca="1">SUM(AF4:AF9)</f>
        <v>540.74833728193221</v>
      </c>
    </row>
    <row r="11" spans="2:33" x14ac:dyDescent="0.25">
      <c r="L11" s="5"/>
      <c r="M11" s="5"/>
      <c r="N11" s="5"/>
      <c r="U11" s="5"/>
      <c r="V11" s="5"/>
      <c r="W11" s="5"/>
    </row>
    <row r="12" spans="2:33" x14ac:dyDescent="0.25">
      <c r="L12" s="5"/>
      <c r="M12" s="5"/>
      <c r="N12" s="5"/>
      <c r="U12" s="5"/>
      <c r="V12" s="5"/>
      <c r="W12" s="5"/>
    </row>
    <row r="13" spans="2:33" x14ac:dyDescent="0.25">
      <c r="L13" s="5"/>
      <c r="M13" s="5"/>
      <c r="N13" s="5"/>
      <c r="U13" s="5"/>
      <c r="V13" s="5"/>
      <c r="W13" s="5"/>
    </row>
    <row r="14" spans="2:33" x14ac:dyDescent="0.25">
      <c r="C14" s="2" t="s">
        <v>85</v>
      </c>
      <c r="L14" s="18" t="s">
        <v>86</v>
      </c>
      <c r="M14" s="5"/>
      <c r="N14" s="5"/>
      <c r="U14" s="18" t="s">
        <v>88</v>
      </c>
      <c r="V14" s="5"/>
      <c r="W14" s="5"/>
      <c r="AD14" s="2" t="s">
        <v>92</v>
      </c>
    </row>
    <row r="15" spans="2:33" x14ac:dyDescent="0.25">
      <c r="L15" s="5"/>
      <c r="M15" s="5"/>
      <c r="N15" s="5"/>
      <c r="U15" s="5"/>
      <c r="V15" s="5"/>
      <c r="W15" s="5"/>
    </row>
    <row r="16" spans="2:33" x14ac:dyDescent="0.25">
      <c r="C16" t="s">
        <v>75</v>
      </c>
      <c r="E16" t="s">
        <v>79</v>
      </c>
      <c r="L16" s="5" t="s">
        <v>75</v>
      </c>
      <c r="M16" s="5"/>
      <c r="N16" s="5" t="s">
        <v>79</v>
      </c>
      <c r="U16" s="5" t="s">
        <v>75</v>
      </c>
      <c r="V16" s="5"/>
      <c r="W16" s="5" t="s">
        <v>79</v>
      </c>
      <c r="AD16" t="s">
        <v>75</v>
      </c>
      <c r="AF16" t="s">
        <v>79</v>
      </c>
    </row>
    <row r="17" spans="2:33" x14ac:dyDescent="0.25">
      <c r="B17" t="s">
        <v>76</v>
      </c>
      <c r="C17" s="5" cm="1">
        <f t="array" aca="1" ref="C17" ca="1">INDIRECT(C14&amp;"!N36")+INDIRECT(C14&amp;"!M36")+INDIRECT(C14&amp;"!J36")</f>
        <v>272.78714983793196</v>
      </c>
      <c r="D17" s="5"/>
      <c r="E17" s="5" cm="1">
        <f t="array" aca="1" ref="E17" ca="1">$E$32*(1+(INDIRECT(C14&amp;"!U39")-$F$29))</f>
        <v>4.9895948546465041</v>
      </c>
      <c r="F17" t="s">
        <v>80</v>
      </c>
      <c r="K17" t="s">
        <v>76</v>
      </c>
      <c r="L17" s="5" cm="1">
        <f t="array" aca="1" ref="L17" ca="1">INDIRECT(L14&amp;"!N36")+INDIRECT(L14&amp;"!M36")+INDIRECT(L14&amp;"!J36")</f>
        <v>274.74446036433534</v>
      </c>
      <c r="M17" s="5"/>
      <c r="N17" s="5" cm="1">
        <f t="array" aca="1" ref="N17" ca="1">$E$32*(1+(INDIRECT(L14&amp;"!U39")-$F$29))</f>
        <v>4.983332560803615</v>
      </c>
      <c r="O17" t="s">
        <v>80</v>
      </c>
      <c r="T17" t="s">
        <v>76</v>
      </c>
      <c r="U17" s="5" cm="1">
        <f t="array" aca="1" ref="U17" ca="1">INDIRECT(U14&amp;"!N36")+INDIRECT(U14&amp;"!M36")+INDIRECT(U14&amp;"!J36")</f>
        <v>258.15609059850721</v>
      </c>
      <c r="V17" s="5"/>
      <c r="W17" s="5" cm="1">
        <f t="array" aca="1" ref="W17" ca="1">$E$32*(1+(INDIRECT(U14&amp;"!U39")-$F$29))</f>
        <v>5.0395948546465039</v>
      </c>
      <c r="X17" t="s">
        <v>80</v>
      </c>
      <c r="AC17" t="s">
        <v>76</v>
      </c>
      <c r="AD17" cm="1">
        <f t="array" aca="1" ref="AD17" ca="1">INDIRECT(AD14&amp;"!N36")+INDIRECT(AD14&amp;"!M36")+INDIRECT(AD14&amp;"!J36")</f>
        <v>261.03696135727694</v>
      </c>
      <c r="AF17" s="3" cm="1">
        <f t="array" aca="1" ref="AF17" ca="1">$E$32*(1+(INDIRECT(AD14&amp;"!U39")-$F$29))</f>
        <v>5.0333325608036148</v>
      </c>
      <c r="AG17" t="s">
        <v>80</v>
      </c>
    </row>
    <row r="18" spans="2:33" x14ac:dyDescent="0.25">
      <c r="C18" s="5"/>
      <c r="D18" s="5"/>
      <c r="E18" s="5"/>
      <c r="L18" s="5"/>
      <c r="M18" s="5"/>
      <c r="N18" s="5"/>
      <c r="U18" s="5"/>
      <c r="V18" s="5"/>
      <c r="W18" s="5"/>
    </row>
    <row r="19" spans="2:33" x14ac:dyDescent="0.25">
      <c r="B19" t="s">
        <v>77</v>
      </c>
      <c r="C19" s="5" cm="1">
        <f t="array" aca="1" ref="C19" ca="1">INDIRECT(C14&amp;"!I36")+INDIRECT(C14&amp;"!K36")+INDIRECT(C14&amp;"!L36")</f>
        <v>282.86534984298521</v>
      </c>
      <c r="D19" s="5"/>
      <c r="E19" s="5" cm="1">
        <f t="array" aca="1" ref="E19" ca="1">INDIRECT(C14&amp;"!O36")</f>
        <v>46.417076121884747</v>
      </c>
      <c r="F19" t="s">
        <v>81</v>
      </c>
      <c r="K19" t="s">
        <v>77</v>
      </c>
      <c r="L19" s="5" cm="1">
        <f t="array" aca="1" ref="L19" ca="1">INDIRECT(L14&amp;"!I36")+INDIRECT(L14&amp;"!K36")+INDIRECT(L14&amp;"!L36")</f>
        <v>285.93092652543652</v>
      </c>
      <c r="M19" s="5"/>
      <c r="N19" s="5" cm="1">
        <f t="array" aca="1" ref="N19" ca="1">INDIRECT(L14&amp;"!O36")</f>
        <v>47.966273772170368</v>
      </c>
      <c r="O19" t="s">
        <v>81</v>
      </c>
      <c r="T19" t="s">
        <v>77</v>
      </c>
      <c r="U19" s="5" cm="1">
        <f t="array" aca="1" ref="U19" ca="1">INDIRECT(U14&amp;"!I36")+INDIRECT(U14&amp;"!K36")+INDIRECT(U14&amp;"!L36")</f>
        <v>275.36836099210757</v>
      </c>
      <c r="V19" s="5"/>
      <c r="W19" s="5">
        <f ca="1">E19</f>
        <v>46.417076121884747</v>
      </c>
      <c r="X19" t="s">
        <v>81</v>
      </c>
      <c r="AC19" t="s">
        <v>77</v>
      </c>
      <c r="AD19" cm="1">
        <f t="array" aca="1" ref="AD19" ca="1">INDIRECT(AD14&amp;"!I36")+INDIRECT(AD14&amp;"!K36")+INDIRECT(AD14&amp;"!L36")</f>
        <v>279.66765617835063</v>
      </c>
      <c r="AF19" s="5">
        <f ca="1">N19</f>
        <v>47.966273772170368</v>
      </c>
      <c r="AG19" t="s">
        <v>81</v>
      </c>
    </row>
    <row r="20" spans="2:33" x14ac:dyDescent="0.25">
      <c r="C20" s="5"/>
      <c r="D20" s="5"/>
      <c r="E20" s="5"/>
      <c r="L20" s="5"/>
      <c r="M20" s="5"/>
      <c r="N20" s="5"/>
      <c r="U20" s="5"/>
      <c r="V20" s="5"/>
      <c r="W20" s="5"/>
    </row>
    <row r="21" spans="2:33" x14ac:dyDescent="0.25">
      <c r="B21" t="s">
        <v>96</v>
      </c>
      <c r="C21" s="5"/>
      <c r="D21" s="5"/>
      <c r="E21" s="5">
        <f ca="1">C23-E19-E17</f>
        <v>504.24582870438587</v>
      </c>
      <c r="F21" t="s">
        <v>82</v>
      </c>
      <c r="K21" t="s">
        <v>96</v>
      </c>
      <c r="L21" s="5"/>
      <c r="M21" s="5"/>
      <c r="N21" s="5">
        <f ca="1">L23-N19-N17</f>
        <v>507.72578055679793</v>
      </c>
      <c r="O21" t="s">
        <v>82</v>
      </c>
      <c r="T21" t="s">
        <v>96</v>
      </c>
      <c r="U21" s="5"/>
      <c r="V21" s="5"/>
      <c r="W21" s="5">
        <f ca="1">U23-W19-W17</f>
        <v>482.06778061408346</v>
      </c>
      <c r="X21" t="s">
        <v>82</v>
      </c>
      <c r="AC21" t="s">
        <v>96</v>
      </c>
      <c r="AF21" s="3">
        <f ca="1">AD23-AF19-AF17</f>
        <v>487.70501120265357</v>
      </c>
      <c r="AG21" t="s">
        <v>82</v>
      </c>
    </row>
    <row r="22" spans="2:33" x14ac:dyDescent="0.25">
      <c r="C22" s="5"/>
      <c r="D22" s="5"/>
      <c r="E22" s="5"/>
      <c r="L22" s="5"/>
      <c r="M22" s="5"/>
      <c r="N22" s="5"/>
      <c r="U22" s="5"/>
      <c r="V22" s="5"/>
      <c r="W22" s="5"/>
    </row>
    <row r="23" spans="2:33" x14ac:dyDescent="0.25">
      <c r="B23" t="s">
        <v>78</v>
      </c>
      <c r="C23" s="5">
        <f ca="1">SUM(C17:C22)</f>
        <v>555.65249968091712</v>
      </c>
      <c r="D23" s="5"/>
      <c r="E23" s="5">
        <f ca="1">SUM(E17:E22)</f>
        <v>555.65249968091712</v>
      </c>
      <c r="K23" t="s">
        <v>78</v>
      </c>
      <c r="L23" s="5">
        <f ca="1">SUM(L17:L22)</f>
        <v>560.67538688977186</v>
      </c>
      <c r="M23" s="5"/>
      <c r="N23" s="5">
        <f ca="1">SUM(N17:N22)</f>
        <v>560.67538688977197</v>
      </c>
      <c r="T23" t="s">
        <v>78</v>
      </c>
      <c r="U23" s="5">
        <f ca="1">SUM(U17:U22)</f>
        <v>533.52445159061472</v>
      </c>
      <c r="V23" s="5"/>
      <c r="W23" s="5">
        <f ca="1">SUM(W17:W22)</f>
        <v>533.52445159061472</v>
      </c>
      <c r="AC23" t="s">
        <v>78</v>
      </c>
      <c r="AD23">
        <f ca="1">SUM(AD17:AD22)</f>
        <v>540.70461753562756</v>
      </c>
      <c r="AF23">
        <f ca="1">SUM(AF17:AF22)</f>
        <v>540.70461753562756</v>
      </c>
    </row>
    <row r="27" spans="2:33" x14ac:dyDescent="0.25">
      <c r="S27" t="s">
        <v>93</v>
      </c>
      <c r="T27" t="s">
        <v>94</v>
      </c>
      <c r="U27" t="s">
        <v>95</v>
      </c>
    </row>
    <row r="28" spans="2:33" x14ac:dyDescent="0.25">
      <c r="S28">
        <v>2023</v>
      </c>
      <c r="T28" s="5">
        <f ca="1">((E10-W10)*100)/E8</f>
        <v>4.4022677584159844</v>
      </c>
      <c r="U28" s="5">
        <f ca="1">((E23-W23)*100)/E21</f>
        <v>4.3883452932388991</v>
      </c>
    </row>
    <row r="29" spans="2:33" x14ac:dyDescent="0.25">
      <c r="B29" s="2">
        <v>2023</v>
      </c>
      <c r="C29" s="2" t="s">
        <v>89</v>
      </c>
      <c r="E29" t="s">
        <v>90</v>
      </c>
      <c r="F29" s="17">
        <v>3.5499999999999997E-2</v>
      </c>
      <c r="K29" s="2">
        <v>2024</v>
      </c>
      <c r="L29" s="2" t="s">
        <v>89</v>
      </c>
      <c r="N29" t="s">
        <v>90</v>
      </c>
      <c r="O29" s="17">
        <v>3.4221000000000001E-2</v>
      </c>
      <c r="S29">
        <v>2024</v>
      </c>
      <c r="T29" s="5">
        <f ca="1">((N10-AF10)*100)/N8</f>
        <v>3.9473656088932936</v>
      </c>
      <c r="U29" s="5">
        <f ca="1">((N23-AF23)*100)/N21</f>
        <v>3.9333770548825484</v>
      </c>
    </row>
    <row r="31" spans="2:33" x14ac:dyDescent="0.25">
      <c r="C31" t="s">
        <v>75</v>
      </c>
      <c r="E31" t="s">
        <v>79</v>
      </c>
      <c r="L31" t="s">
        <v>75</v>
      </c>
      <c r="N31" t="s">
        <v>79</v>
      </c>
    </row>
    <row r="32" spans="2:33" x14ac:dyDescent="0.25">
      <c r="B32" t="s">
        <v>76</v>
      </c>
      <c r="C32" s="5">
        <v>275.52999999999997</v>
      </c>
      <c r="D32" s="5"/>
      <c r="E32" s="5">
        <v>5</v>
      </c>
      <c r="F32" t="s">
        <v>80</v>
      </c>
      <c r="K32" t="s">
        <v>76</v>
      </c>
      <c r="L32" s="5">
        <f>98.29+98.47+90.51</f>
        <v>287.27</v>
      </c>
      <c r="M32" s="5"/>
      <c r="N32" s="5">
        <f>$E$32*(1+($O$29-$F$29))</f>
        <v>4.9936049999999996</v>
      </c>
      <c r="O32" t="s">
        <v>80</v>
      </c>
    </row>
    <row r="33" spans="2:15" x14ac:dyDescent="0.25">
      <c r="C33" s="5"/>
      <c r="D33" s="5"/>
      <c r="E33" s="5"/>
      <c r="L33" s="5"/>
      <c r="M33" s="5"/>
      <c r="N33" s="5"/>
    </row>
    <row r="34" spans="2:15" x14ac:dyDescent="0.25">
      <c r="B34" t="s">
        <v>77</v>
      </c>
      <c r="C34" s="5">
        <v>286.27</v>
      </c>
      <c r="D34" s="5"/>
      <c r="E34" s="5">
        <v>46.4</v>
      </c>
      <c r="F34" t="s">
        <v>81</v>
      </c>
      <c r="K34" t="s">
        <v>77</v>
      </c>
      <c r="L34" s="5">
        <f>98.05+99.29+93.46</f>
        <v>290.8</v>
      </c>
      <c r="M34" s="5"/>
      <c r="N34" s="5">
        <v>55.15</v>
      </c>
      <c r="O34" t="s">
        <v>81</v>
      </c>
    </row>
    <row r="35" spans="2:15" x14ac:dyDescent="0.25">
      <c r="C35" s="5"/>
      <c r="D35" s="5"/>
      <c r="E35" s="5"/>
      <c r="L35" s="5"/>
      <c r="M35" s="5"/>
      <c r="N35" s="5"/>
    </row>
    <row r="36" spans="2:15" x14ac:dyDescent="0.25">
      <c r="C36" s="5"/>
      <c r="D36" s="5"/>
      <c r="E36" s="5">
        <f>C38-E34-E32</f>
        <v>510.4</v>
      </c>
      <c r="F36" t="s">
        <v>82</v>
      </c>
      <c r="L36" s="5"/>
      <c r="M36" s="5"/>
      <c r="N36" s="5">
        <f>L38-N34-N32</f>
        <v>517.92639499999996</v>
      </c>
      <c r="O36" t="s">
        <v>82</v>
      </c>
    </row>
    <row r="37" spans="2:15" x14ac:dyDescent="0.25">
      <c r="C37" s="5"/>
      <c r="D37" s="5"/>
      <c r="E37" s="5"/>
      <c r="L37" s="5"/>
      <c r="M37" s="5"/>
      <c r="N37" s="5"/>
    </row>
    <row r="38" spans="2:15" x14ac:dyDescent="0.25">
      <c r="B38" t="s">
        <v>78</v>
      </c>
      <c r="C38" s="5">
        <f>SUM(C32:C37)</f>
        <v>561.79999999999995</v>
      </c>
      <c r="D38" s="5"/>
      <c r="E38" s="5">
        <f>SUM(E32:E37)</f>
        <v>561.79999999999995</v>
      </c>
      <c r="K38" t="s">
        <v>78</v>
      </c>
      <c r="L38" s="5">
        <f>SUM(L32:L37)</f>
        <v>578.06999999999994</v>
      </c>
      <c r="M38" s="5"/>
      <c r="N38" s="5">
        <f>SUM(N32:N37)</f>
        <v>578.06999999999994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63D2-9212-4BFE-9866-3C5382E4C6F1}">
  <dimension ref="B1:AA38"/>
  <sheetViews>
    <sheetView tabSelected="1" zoomScaleNormal="100" workbookViewId="0">
      <selection activeCell="T30" sqref="T30:U31"/>
    </sheetView>
  </sheetViews>
  <sheetFormatPr defaultRowHeight="15" x14ac:dyDescent="0.25"/>
  <cols>
    <col min="5" max="5" width="9.85546875" bestFit="1" customWidth="1"/>
  </cols>
  <sheetData>
    <row r="1" spans="2:27" x14ac:dyDescent="0.25">
      <c r="C1" s="2" t="s">
        <v>83</v>
      </c>
      <c r="E1" s="19"/>
      <c r="J1" s="2" t="s">
        <v>84</v>
      </c>
      <c r="Q1" s="2" t="s">
        <v>87</v>
      </c>
      <c r="X1" s="2" t="s">
        <v>91</v>
      </c>
    </row>
    <row r="3" spans="2:27" x14ac:dyDescent="0.25">
      <c r="C3" t="s">
        <v>75</v>
      </c>
      <c r="E3" t="s">
        <v>79</v>
      </c>
      <c r="J3" t="s">
        <v>75</v>
      </c>
      <c r="L3" t="s">
        <v>79</v>
      </c>
      <c r="Q3" t="s">
        <v>75</v>
      </c>
      <c r="S3" t="s">
        <v>79</v>
      </c>
      <c r="X3" t="s">
        <v>75</v>
      </c>
      <c r="Z3" t="s">
        <v>79</v>
      </c>
    </row>
    <row r="4" spans="2:27" x14ac:dyDescent="0.25">
      <c r="B4" t="s">
        <v>76</v>
      </c>
      <c r="C4" s="5" cm="1">
        <f t="array" aca="1" ref="C4" ca="1">INDIRECT(C1&amp;"!N36")+INDIRECT(C1&amp;"!M36")+INDIRECT(C1&amp;"!J36")</f>
        <v>272.81051027976821</v>
      </c>
      <c r="D4" s="5"/>
      <c r="E4" s="5" cm="1">
        <f t="array" aca="1" ref="E4" ca="1">$E$32*(1+(INDIRECT(C1&amp;"!U39")-$F$29))</f>
        <v>4.9881149110376741</v>
      </c>
      <c r="F4" t="s">
        <v>80</v>
      </c>
      <c r="I4" t="s">
        <v>76</v>
      </c>
      <c r="J4" s="5" cm="1">
        <f t="array" aca="1" ref="J4" ca="1">INDIRECT(J1&amp;"!N36")+INDIRECT(J1&amp;"!M36")+INDIRECT(J1&amp;"!J36")</f>
        <v>274.78988771081902</v>
      </c>
      <c r="K4" s="5"/>
      <c r="L4" s="5" cm="1">
        <f t="array" aca="1" ref="L4" ca="1">$E$32*(1+(INDIRECT(J1&amp;"!U39")-$F$29))</f>
        <v>4.9813630323516573</v>
      </c>
      <c r="M4" t="s">
        <v>80</v>
      </c>
      <c r="P4" t="s">
        <v>76</v>
      </c>
      <c r="Q4" s="5" cm="1">
        <f t="array" aca="1" ref="Q4" ca="1">INDIRECT(Q1&amp;"!N36")+INDIRECT(Q1&amp;"!M36")+INDIRECT(Q1&amp;"!J36")</f>
        <v>258.17728938939462</v>
      </c>
      <c r="R4" s="5"/>
      <c r="S4" s="5" cm="1">
        <f t="array" aca="1" ref="S4" ca="1">$E$32*(1+(INDIRECT(Q1&amp;"!U39")-$F$29))</f>
        <v>5.0381149110376739</v>
      </c>
      <c r="T4" t="s">
        <v>80</v>
      </c>
      <c r="W4" t="s">
        <v>76</v>
      </c>
      <c r="X4" cm="1">
        <f t="array" aca="1" ref="X4" ca="1">INDIRECT(X1&amp;"!N36")+INDIRECT(X1&amp;"!M36")+INDIRECT(X1&amp;"!J36")</f>
        <v>261.07849594836921</v>
      </c>
      <c r="Z4" s="3" cm="1">
        <f t="array" aca="1" ref="Z4" ca="1">$E$32*(1+(INDIRECT(X1&amp;"!U39")-$F$29))</f>
        <v>5.031363032351658</v>
      </c>
      <c r="AA4" t="s">
        <v>80</v>
      </c>
    </row>
    <row r="5" spans="2:27" x14ac:dyDescent="0.25">
      <c r="C5" s="5"/>
      <c r="D5" s="5"/>
      <c r="E5" s="5"/>
      <c r="J5" s="5"/>
      <c r="K5" s="5"/>
      <c r="L5" s="5"/>
      <c r="Q5" s="5"/>
      <c r="R5" s="5"/>
      <c r="S5" s="5"/>
    </row>
    <row r="6" spans="2:27" x14ac:dyDescent="0.25">
      <c r="B6" t="s">
        <v>77</v>
      </c>
      <c r="C6" s="5" cm="1">
        <f t="array" aca="1" ref="C6" ca="1">INDIRECT(C1&amp;"!I36")+INDIRECT(C1&amp;"!K36")+INDIRECT(C1&amp;"!L36")</f>
        <v>282.86575982007764</v>
      </c>
      <c r="D6" s="5"/>
      <c r="E6" s="5" cm="1">
        <f t="array" aca="1" ref="E6" ca="1">INDIRECT(C1&amp;"!O36")</f>
        <v>47.987578079581581</v>
      </c>
      <c r="F6" t="s">
        <v>81</v>
      </c>
      <c r="I6" t="s">
        <v>77</v>
      </c>
      <c r="J6" s="5" cm="1">
        <f t="array" aca="1" ref="J6" ca="1">INDIRECT(J1&amp;"!I36")+INDIRECT(J1&amp;"!K36")+INDIRECT(J1&amp;"!L36")</f>
        <v>285.93318570048473</v>
      </c>
      <c r="K6" s="5"/>
      <c r="L6" s="5" cm="1">
        <f t="array" aca="1" ref="L6" ca="1">INDIRECT(J1&amp;"!O36")</f>
        <v>49.714701267633103</v>
      </c>
      <c r="M6" t="s">
        <v>81</v>
      </c>
      <c r="P6" t="s">
        <v>77</v>
      </c>
      <c r="Q6" s="5" cm="1">
        <f t="array" aca="1" ref="Q6" ca="1">INDIRECT(Q1&amp;"!I36")+INDIRECT(Q1&amp;"!K36")+INDIRECT(Q1&amp;"!L36")</f>
        <v>275.36875528300072</v>
      </c>
      <c r="R6" s="5"/>
      <c r="S6" s="5">
        <f ca="1">E6</f>
        <v>47.987578079581581</v>
      </c>
      <c r="T6" t="s">
        <v>81</v>
      </c>
      <c r="W6" t="s">
        <v>77</v>
      </c>
      <c r="X6" cm="1">
        <f t="array" aca="1" ref="X6" ca="1">INDIRECT(X1&amp;"!I36")+INDIRECT(X1&amp;"!K36")+INDIRECT(X1&amp;"!L36")</f>
        <v>279.669841333563</v>
      </c>
      <c r="Z6" s="5">
        <f ca="1">L6</f>
        <v>49.714701267633103</v>
      </c>
      <c r="AA6" t="s">
        <v>81</v>
      </c>
    </row>
    <row r="7" spans="2:27" x14ac:dyDescent="0.25">
      <c r="C7" s="5"/>
      <c r="D7" s="5"/>
      <c r="E7" s="5"/>
      <c r="J7" s="5"/>
      <c r="K7" s="5"/>
      <c r="L7" s="5"/>
      <c r="Q7" s="5"/>
      <c r="R7" s="5"/>
      <c r="S7" s="5"/>
    </row>
    <row r="8" spans="2:27" x14ac:dyDescent="0.25">
      <c r="B8" t="s">
        <v>96</v>
      </c>
      <c r="C8" s="5">
        <f>D8*$Q$34</f>
        <v>-14.811889504007523</v>
      </c>
      <c r="D8" s="5">
        <v>-6.5539334088528864</v>
      </c>
      <c r="E8" s="5">
        <f ca="1">C10-E6-E4</f>
        <v>487.88868760521916</v>
      </c>
      <c r="F8" t="s">
        <v>82</v>
      </c>
      <c r="I8" t="s">
        <v>96</v>
      </c>
      <c r="J8" s="5">
        <f>K8*$Q$35</f>
        <v>-12.576559060726625</v>
      </c>
      <c r="K8" s="5">
        <v>-5.4919471880902293</v>
      </c>
      <c r="L8" s="5">
        <f ca="1">J10-L6-L4</f>
        <v>493.45045005059234</v>
      </c>
      <c r="M8" t="s">
        <v>82</v>
      </c>
      <c r="P8" t="s">
        <v>96</v>
      </c>
      <c r="Q8" s="5"/>
      <c r="R8" s="5"/>
      <c r="S8" s="5">
        <f ca="1">Q10-S6-S4-S7</f>
        <v>480.52035168177605</v>
      </c>
      <c r="T8" t="s">
        <v>82</v>
      </c>
      <c r="W8" t="s">
        <v>96</v>
      </c>
      <c r="Z8" s="3">
        <f ca="1">X10-Z6-Z4</f>
        <v>486.00227298194744</v>
      </c>
      <c r="AA8" t="s">
        <v>82</v>
      </c>
    </row>
    <row r="9" spans="2:27" x14ac:dyDescent="0.25">
      <c r="C9" s="5"/>
      <c r="D9" s="5"/>
      <c r="E9" s="5"/>
      <c r="J9" s="5"/>
      <c r="K9" s="5"/>
      <c r="L9" s="5"/>
      <c r="Q9" s="5"/>
      <c r="R9" s="5"/>
      <c r="S9" s="5"/>
    </row>
    <row r="10" spans="2:27" x14ac:dyDescent="0.25">
      <c r="B10" t="s">
        <v>78</v>
      </c>
      <c r="C10" s="5">
        <f ca="1">SUM(C4:C9)</f>
        <v>540.86438059583838</v>
      </c>
      <c r="D10" s="5"/>
      <c r="E10" s="5">
        <f ca="1">SUM(E4:E9)</f>
        <v>540.86438059583838</v>
      </c>
      <c r="I10" t="s">
        <v>78</v>
      </c>
      <c r="J10" s="5">
        <f ca="1">SUM(J4:J9)</f>
        <v>548.14651435057715</v>
      </c>
      <c r="K10" s="5"/>
      <c r="L10" s="5">
        <f ca="1">SUM(L4:L9)</f>
        <v>548.14651435057715</v>
      </c>
      <c r="P10" t="s">
        <v>78</v>
      </c>
      <c r="Q10" s="5">
        <f ca="1">SUM(Q4:Q9)</f>
        <v>533.54604467239528</v>
      </c>
      <c r="R10" s="5"/>
      <c r="S10" s="5">
        <f ca="1">SUM(S4:S9)</f>
        <v>533.54604467239528</v>
      </c>
      <c r="W10" t="s">
        <v>78</v>
      </c>
      <c r="X10">
        <f ca="1">SUM(X4:X9)</f>
        <v>540.74833728193221</v>
      </c>
      <c r="Z10">
        <f ca="1">SUM(Z4:Z9)</f>
        <v>540.74833728193221</v>
      </c>
    </row>
    <row r="11" spans="2:27" x14ac:dyDescent="0.25">
      <c r="J11" s="5"/>
      <c r="K11" s="5"/>
      <c r="L11" s="5"/>
      <c r="Q11" s="5"/>
      <c r="R11" s="5"/>
      <c r="S11" s="5"/>
    </row>
    <row r="12" spans="2:27" x14ac:dyDescent="0.25">
      <c r="J12" s="5"/>
      <c r="K12" s="5"/>
      <c r="L12" s="5"/>
      <c r="Q12" s="5"/>
      <c r="R12" s="5"/>
      <c r="S12" s="5"/>
    </row>
    <row r="13" spans="2:27" x14ac:dyDescent="0.25">
      <c r="J13" s="5"/>
      <c r="K13" s="5"/>
      <c r="L13" s="5"/>
      <c r="Q13" s="5"/>
      <c r="R13" s="5"/>
      <c r="S13" s="5"/>
    </row>
    <row r="14" spans="2:27" x14ac:dyDescent="0.25">
      <c r="C14" s="2" t="s">
        <v>85</v>
      </c>
      <c r="J14" s="18" t="s">
        <v>86</v>
      </c>
      <c r="K14" s="5"/>
      <c r="L14" s="5"/>
      <c r="Q14" s="18" t="s">
        <v>88</v>
      </c>
      <c r="R14" s="5"/>
      <c r="S14" s="5"/>
      <c r="X14" s="2" t="s">
        <v>92</v>
      </c>
    </row>
    <row r="15" spans="2:27" x14ac:dyDescent="0.25">
      <c r="J15" s="5"/>
      <c r="K15" s="5"/>
      <c r="L15" s="5"/>
      <c r="Q15" s="5"/>
      <c r="R15" s="5"/>
      <c r="S15" s="5"/>
    </row>
    <row r="16" spans="2:27" x14ac:dyDescent="0.25">
      <c r="C16" t="s">
        <v>75</v>
      </c>
      <c r="E16" t="s">
        <v>79</v>
      </c>
      <c r="J16" s="5" t="s">
        <v>75</v>
      </c>
      <c r="K16" s="5"/>
      <c r="L16" s="5" t="s">
        <v>79</v>
      </c>
      <c r="Q16" s="5" t="s">
        <v>75</v>
      </c>
      <c r="R16" s="5"/>
      <c r="S16" s="5" t="s">
        <v>79</v>
      </c>
      <c r="X16" t="s">
        <v>75</v>
      </c>
      <c r="Z16" t="s">
        <v>79</v>
      </c>
    </row>
    <row r="17" spans="2:27" x14ac:dyDescent="0.25">
      <c r="B17" t="s">
        <v>76</v>
      </c>
      <c r="C17" s="5" cm="1">
        <f t="array" aca="1" ref="C17" ca="1">INDIRECT(C14&amp;"!N36")+INDIRECT(C14&amp;"!M36")+INDIRECT(C14&amp;"!J36")</f>
        <v>272.78714983793196</v>
      </c>
      <c r="D17" s="5"/>
      <c r="E17" s="5" cm="1">
        <f t="array" aca="1" ref="E17" ca="1">$E$32*(1+(INDIRECT(C14&amp;"!U39")-$F$29))</f>
        <v>4.9895948546465041</v>
      </c>
      <c r="F17" t="s">
        <v>80</v>
      </c>
      <c r="I17" t="s">
        <v>76</v>
      </c>
      <c r="J17" s="5" cm="1">
        <f t="array" aca="1" ref="J17" ca="1">INDIRECT(J14&amp;"!N36")+INDIRECT(J14&amp;"!M36")+INDIRECT(J14&amp;"!J36")</f>
        <v>274.74446036433534</v>
      </c>
      <c r="K17" s="5"/>
      <c r="L17" s="5" cm="1">
        <f t="array" aca="1" ref="L17" ca="1">$E$32*(1+(INDIRECT(J14&amp;"!U39")-$F$29))</f>
        <v>4.983332560803615</v>
      </c>
      <c r="M17" t="s">
        <v>80</v>
      </c>
      <c r="P17" t="s">
        <v>76</v>
      </c>
      <c r="Q17" s="5" cm="1">
        <f t="array" aca="1" ref="Q17" ca="1">INDIRECT(Q14&amp;"!N36")+INDIRECT(Q14&amp;"!M36")+INDIRECT(Q14&amp;"!J36")</f>
        <v>258.15609059850721</v>
      </c>
      <c r="R17" s="5"/>
      <c r="S17" s="5" cm="1">
        <f t="array" aca="1" ref="S17" ca="1">$E$32*(1+(INDIRECT(Q14&amp;"!U39")-$F$29))</f>
        <v>5.0395948546465039</v>
      </c>
      <c r="T17" t="s">
        <v>80</v>
      </c>
      <c r="W17" t="s">
        <v>76</v>
      </c>
      <c r="X17" cm="1">
        <f t="array" aca="1" ref="X17" ca="1">INDIRECT(X14&amp;"!N36")+INDIRECT(X14&amp;"!M36")+INDIRECT(X14&amp;"!J36")</f>
        <v>261.03696135727694</v>
      </c>
      <c r="Z17" s="3" cm="1">
        <f t="array" aca="1" ref="Z17" ca="1">$E$32*(1+(INDIRECT(X14&amp;"!U39")-$F$29))</f>
        <v>5.0333325608036148</v>
      </c>
      <c r="AA17" t="s">
        <v>80</v>
      </c>
    </row>
    <row r="18" spans="2:27" x14ac:dyDescent="0.25">
      <c r="C18" s="5"/>
      <c r="D18" s="5"/>
      <c r="E18" s="5"/>
      <c r="J18" s="5"/>
      <c r="K18" s="5"/>
      <c r="L18" s="5"/>
      <c r="Q18" s="5"/>
      <c r="R18" s="5"/>
      <c r="S18" s="5"/>
    </row>
    <row r="19" spans="2:27" x14ac:dyDescent="0.25">
      <c r="B19" t="s">
        <v>77</v>
      </c>
      <c r="C19" s="5" cm="1">
        <f t="array" aca="1" ref="C19" ca="1">INDIRECT(C14&amp;"!I36")+INDIRECT(C14&amp;"!K36")+INDIRECT(C14&amp;"!L36")</f>
        <v>282.86534984298521</v>
      </c>
      <c r="D19" s="5"/>
      <c r="E19" s="5" cm="1">
        <f t="array" aca="1" ref="E19" ca="1">INDIRECT(C14&amp;"!O36")</f>
        <v>46.417076121884747</v>
      </c>
      <c r="F19" t="s">
        <v>81</v>
      </c>
      <c r="I19" t="s">
        <v>77</v>
      </c>
      <c r="J19" s="5" cm="1">
        <f t="array" aca="1" ref="J19" ca="1">INDIRECT(J14&amp;"!I36")+INDIRECT(J14&amp;"!K36")+INDIRECT(J14&amp;"!L36")</f>
        <v>285.93092652543652</v>
      </c>
      <c r="K19" s="5"/>
      <c r="L19" s="5" cm="1">
        <f t="array" aca="1" ref="L19" ca="1">INDIRECT(J14&amp;"!O36")</f>
        <v>47.966273772170368</v>
      </c>
      <c r="M19" t="s">
        <v>81</v>
      </c>
      <c r="P19" t="s">
        <v>77</v>
      </c>
      <c r="Q19" s="5" cm="1">
        <f t="array" aca="1" ref="Q19" ca="1">INDIRECT(Q14&amp;"!I36")+INDIRECT(Q14&amp;"!K36")+INDIRECT(Q14&amp;"!L36")</f>
        <v>275.36836099210757</v>
      </c>
      <c r="R19" s="5"/>
      <c r="S19" s="5">
        <f ca="1">E19</f>
        <v>46.417076121884747</v>
      </c>
      <c r="T19" t="s">
        <v>81</v>
      </c>
      <c r="W19" t="s">
        <v>77</v>
      </c>
      <c r="X19" cm="1">
        <f t="array" aca="1" ref="X19" ca="1">INDIRECT(X14&amp;"!I36")+INDIRECT(X14&amp;"!K36")+INDIRECT(X14&amp;"!L36")</f>
        <v>279.66765617835063</v>
      </c>
      <c r="Z19" s="5">
        <f ca="1">L19</f>
        <v>47.966273772170368</v>
      </c>
      <c r="AA19" t="s">
        <v>81</v>
      </c>
    </row>
    <row r="20" spans="2:27" x14ac:dyDescent="0.25">
      <c r="C20" s="5"/>
      <c r="D20" s="5"/>
      <c r="E20" s="5"/>
      <c r="J20" s="5"/>
      <c r="K20" s="5"/>
      <c r="L20" s="5"/>
      <c r="Q20" s="5"/>
      <c r="R20" s="5"/>
      <c r="S20" s="5"/>
    </row>
    <row r="21" spans="2:27" x14ac:dyDescent="0.25">
      <c r="B21" t="s">
        <v>96</v>
      </c>
      <c r="C21" s="5">
        <f>D21*$R$34</f>
        <v>-14.786142231575276</v>
      </c>
      <c r="D21" s="5">
        <v>-6.5137190447468178</v>
      </c>
      <c r="E21" s="5">
        <f ca="1">C23-E19-E17</f>
        <v>489.45968647281063</v>
      </c>
      <c r="F21" t="s">
        <v>82</v>
      </c>
      <c r="I21" t="s">
        <v>96</v>
      </c>
      <c r="J21" s="5">
        <f>K21*$R$35</f>
        <v>-12.545441142571573</v>
      </c>
      <c r="K21" s="5">
        <v>-5.575751618920699</v>
      </c>
      <c r="L21" s="5">
        <f ca="1">J23-L19-L17</f>
        <v>495.1803394142263</v>
      </c>
      <c r="M21" t="s">
        <v>82</v>
      </c>
      <c r="P21" t="s">
        <v>96</v>
      </c>
      <c r="Q21" s="5"/>
      <c r="R21" s="5"/>
      <c r="S21" s="5">
        <f ca="1">Q23-S19-S17</f>
        <v>482.06778061408346</v>
      </c>
      <c r="T21" t="s">
        <v>82</v>
      </c>
      <c r="W21" t="s">
        <v>96</v>
      </c>
      <c r="Z21" s="3">
        <f ca="1">X23-Z19-Z17</f>
        <v>487.70501120265357</v>
      </c>
      <c r="AA21" t="s">
        <v>82</v>
      </c>
    </row>
    <row r="22" spans="2:27" x14ac:dyDescent="0.25">
      <c r="C22" s="5"/>
      <c r="D22" s="5"/>
      <c r="E22" s="5"/>
      <c r="J22" s="5"/>
      <c r="K22" s="5"/>
      <c r="L22" s="5"/>
      <c r="Q22" s="5"/>
      <c r="R22" s="5"/>
      <c r="S22" s="5"/>
    </row>
    <row r="23" spans="2:27" x14ac:dyDescent="0.25">
      <c r="B23" t="s">
        <v>78</v>
      </c>
      <c r="C23" s="5">
        <f ca="1">SUM(C17:C22)</f>
        <v>540.86635744934188</v>
      </c>
      <c r="D23" s="5"/>
      <c r="E23" s="5">
        <f ca="1">SUM(E17:E22)</f>
        <v>540.86635744934188</v>
      </c>
      <c r="I23" t="s">
        <v>78</v>
      </c>
      <c r="J23" s="5">
        <f ca="1">SUM(J17:J22)</f>
        <v>548.12994574720028</v>
      </c>
      <c r="K23" s="5"/>
      <c r="L23" s="5">
        <f ca="1">SUM(L17:L22)</f>
        <v>548.12994574720028</v>
      </c>
      <c r="P23" t="s">
        <v>78</v>
      </c>
      <c r="Q23" s="5">
        <f ca="1">SUM(Q17:Q22)</f>
        <v>533.52445159061472</v>
      </c>
      <c r="R23" s="5"/>
      <c r="S23" s="5">
        <f ca="1">SUM(S17:S22)</f>
        <v>533.52445159061472</v>
      </c>
      <c r="W23" t="s">
        <v>78</v>
      </c>
      <c r="X23">
        <f ca="1">SUM(X17:X22)</f>
        <v>540.70461753562756</v>
      </c>
      <c r="Z23">
        <f ca="1">SUM(Z17:Z22)</f>
        <v>540.70461753562756</v>
      </c>
    </row>
    <row r="29" spans="2:27" x14ac:dyDescent="0.25">
      <c r="B29" s="2">
        <v>2023</v>
      </c>
      <c r="C29" s="2" t="s">
        <v>89</v>
      </c>
      <c r="E29" t="s">
        <v>90</v>
      </c>
      <c r="F29" s="17">
        <v>3.5499999999999997E-2</v>
      </c>
      <c r="I29" s="2">
        <v>2024</v>
      </c>
      <c r="J29" s="2" t="s">
        <v>89</v>
      </c>
      <c r="L29" t="s">
        <v>90</v>
      </c>
      <c r="M29" s="17">
        <v>3.4221000000000001E-2</v>
      </c>
      <c r="P29" t="s">
        <v>93</v>
      </c>
      <c r="Q29" t="s">
        <v>94</v>
      </c>
      <c r="R29" t="s">
        <v>95</v>
      </c>
    </row>
    <row r="30" spans="2:27" x14ac:dyDescent="0.25">
      <c r="P30">
        <v>2023</v>
      </c>
      <c r="Q30" s="5">
        <f ca="1">((E10-S10)*100)/E8</f>
        <v>1.5000011497222534</v>
      </c>
      <c r="R30" s="5">
        <f ca="1">((E23-S23)*100)/E21</f>
        <v>1.5000021578150953</v>
      </c>
      <c r="T30" s="3">
        <v>6.5539334088528864</v>
      </c>
      <c r="U30" s="3">
        <v>6.5137190447468178</v>
      </c>
    </row>
    <row r="31" spans="2:27" x14ac:dyDescent="0.25">
      <c r="C31" t="s">
        <v>75</v>
      </c>
      <c r="E31" t="s">
        <v>79</v>
      </c>
      <c r="J31" t="s">
        <v>75</v>
      </c>
      <c r="L31" t="s">
        <v>79</v>
      </c>
      <c r="P31">
        <v>2024</v>
      </c>
      <c r="Q31" s="5">
        <f ca="1">((L10-Z10)*100)/L8</f>
        <v>1.4992745609790046</v>
      </c>
      <c r="R31" s="5">
        <f ca="1">((L23-Z23)*100)/L21</f>
        <v>1.4995199971704274</v>
      </c>
      <c r="T31" s="3">
        <v>5.4919471880902293</v>
      </c>
      <c r="U31" s="3">
        <v>5.575751618920699</v>
      </c>
    </row>
    <row r="32" spans="2:27" x14ac:dyDescent="0.25">
      <c r="B32" t="s">
        <v>76</v>
      </c>
      <c r="C32" s="5">
        <v>275.52999999999997</v>
      </c>
      <c r="D32" s="5"/>
      <c r="E32" s="5">
        <v>5</v>
      </c>
      <c r="F32" t="s">
        <v>80</v>
      </c>
      <c r="I32" t="s">
        <v>76</v>
      </c>
      <c r="J32" s="5">
        <f>98.29+98.47+90.51</f>
        <v>287.27</v>
      </c>
      <c r="K32" s="5"/>
      <c r="L32" s="5">
        <f>$E$32*(1+($M$29-$F$29))</f>
        <v>4.9936049999999996</v>
      </c>
      <c r="M32" t="s">
        <v>80</v>
      </c>
    </row>
    <row r="33" spans="2:18" x14ac:dyDescent="0.25">
      <c r="C33" s="5"/>
      <c r="D33" s="5"/>
      <c r="E33" s="5"/>
      <c r="J33" s="5"/>
      <c r="K33" s="5"/>
      <c r="L33" s="5"/>
      <c r="P33" t="s">
        <v>98</v>
      </c>
      <c r="Q33" t="s">
        <v>94</v>
      </c>
      <c r="R33" t="s">
        <v>95</v>
      </c>
    </row>
    <row r="34" spans="2:18" x14ac:dyDescent="0.25">
      <c r="B34" t="s">
        <v>77</v>
      </c>
      <c r="C34" s="5">
        <v>286.27</v>
      </c>
      <c r="D34" s="5"/>
      <c r="E34" s="5">
        <v>46.4</v>
      </c>
      <c r="F34" t="s">
        <v>81</v>
      </c>
      <c r="I34" t="s">
        <v>77</v>
      </c>
      <c r="J34" s="5">
        <f>98.05+99.29+93.46</f>
        <v>290.8</v>
      </c>
      <c r="K34" s="5"/>
      <c r="L34" s="5">
        <v>55.15</v>
      </c>
      <c r="M34" t="s">
        <v>81</v>
      </c>
      <c r="P34">
        <v>2023</v>
      </c>
      <c r="Q34" s="5">
        <v>2.2599999999999998</v>
      </c>
      <c r="R34" s="5">
        <v>2.27</v>
      </c>
    </row>
    <row r="35" spans="2:18" x14ac:dyDescent="0.25">
      <c r="C35" s="5"/>
      <c r="D35" s="5"/>
      <c r="E35" s="5"/>
      <c r="J35" s="5"/>
      <c r="K35" s="5"/>
      <c r="L35" s="5"/>
      <c r="P35">
        <v>2024</v>
      </c>
      <c r="Q35" s="5">
        <v>2.29</v>
      </c>
      <c r="R35" s="5">
        <v>2.25</v>
      </c>
    </row>
    <row r="36" spans="2:18" x14ac:dyDescent="0.25">
      <c r="C36" s="5"/>
      <c r="D36" s="5"/>
      <c r="E36" s="5">
        <f>C38-E34-E32</f>
        <v>510.4</v>
      </c>
      <c r="F36" t="s">
        <v>82</v>
      </c>
      <c r="J36" s="5"/>
      <c r="K36" s="5"/>
      <c r="L36" s="5">
        <f>J38-L34-L32</f>
        <v>517.92639499999996</v>
      </c>
      <c r="M36" t="s">
        <v>82</v>
      </c>
    </row>
    <row r="37" spans="2:18" x14ac:dyDescent="0.25">
      <c r="C37" s="5"/>
      <c r="D37" s="5"/>
      <c r="E37" s="5"/>
      <c r="J37" s="5"/>
      <c r="K37" s="5"/>
      <c r="L37" s="5"/>
    </row>
    <row r="38" spans="2:18" x14ac:dyDescent="0.25">
      <c r="B38" t="s">
        <v>78</v>
      </c>
      <c r="C38" s="5">
        <f>SUM(C32:C37)</f>
        <v>561.79999999999995</v>
      </c>
      <c r="D38" s="5"/>
      <c r="E38" s="5">
        <f>SUM(E32:E37)</f>
        <v>561.79999999999995</v>
      </c>
      <c r="I38" t="s">
        <v>78</v>
      </c>
      <c r="J38" s="5">
        <f>SUM(J32:J37)</f>
        <v>578.06999999999994</v>
      </c>
      <c r="K38" s="5"/>
      <c r="L38" s="5">
        <f>SUM(L32:L37)</f>
        <v>578.06999999999994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Opgave 2</vt:lpstr>
      <vt:lpstr>Ark1</vt:lpstr>
      <vt:lpstr>Ark1 (2)</vt:lpstr>
      <vt:lpstr>Nelson Siegel Svensson estimati</vt:lpstr>
      <vt:lpstr>Vasicek_2023procent</vt:lpstr>
      <vt:lpstr>CIR_2023procent</vt:lpstr>
      <vt:lpstr>Vasicek_2024procent</vt:lpstr>
      <vt:lpstr>CIR_2024procent</vt:lpstr>
      <vt:lpstr>Vasicek_2023</vt:lpstr>
      <vt:lpstr>CIR_2023</vt:lpstr>
      <vt:lpstr>Vasicek_2024</vt:lpstr>
      <vt:lpstr>CIR_2024</vt:lpstr>
      <vt:lpstr>Balancer</vt:lpstr>
      <vt:lpstr>Balancer_swaptions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Rosenvinge Jensen</dc:creator>
  <cp:lastModifiedBy>Sebastian Rosenvinge Jensen</cp:lastModifiedBy>
  <dcterms:created xsi:type="dcterms:W3CDTF">2024-04-17T03:03:41Z</dcterms:created>
  <dcterms:modified xsi:type="dcterms:W3CDTF">2024-08-12T01:27:45Z</dcterms:modified>
</cp:coreProperties>
</file>