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https://stonebankgroupptyltd.sharepoint.com/sites/StonebankNewBusiness/Shared Documents/Prospects/Philip Island Nature Parks PMF/Tender Submission/"/>
    </mc:Choice>
  </mc:AlternateContent>
  <xr:revisionPtr revIDLastSave="113" documentId="8_{378E8FB0-55DB-4241-9CA9-8A9FCBF7E05D}" xr6:coauthVersionLast="47" xr6:coauthVersionMax="47" xr10:uidLastSave="{16F8EA57-193A-4EAB-87E3-196B4BCCFC84}"/>
  <bookViews>
    <workbookView xWindow="-105" yWindow="0" windowWidth="26010" windowHeight="20985" xr2:uid="{85452BF8-F1B5-4A39-BD40-2E7F1D125BDF}"/>
  </bookViews>
  <sheets>
    <sheet name="PM" sheetId="1" r:id="rId1"/>
  </sheets>
  <definedNames>
    <definedName name="_xlnm.Print_Area" localSheetId="0">PM!$A$1:$I$50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I17" i="1"/>
  <c r="G49" i="1"/>
  <c r="G48" i="1"/>
  <c r="G47" i="1"/>
  <c r="G46" i="1"/>
  <c r="G45" i="1"/>
  <c r="G44" i="1"/>
  <c r="G43" i="1"/>
  <c r="G42" i="1"/>
  <c r="G41" i="1"/>
  <c r="G40" i="1"/>
  <c r="G39" i="1"/>
  <c r="D38" i="1"/>
  <c r="G38" i="1" s="1"/>
  <c r="B36" i="1" l="1"/>
  <c r="H39" i="1"/>
  <c r="H40" i="1"/>
  <c r="H41" i="1"/>
  <c r="H42" i="1"/>
  <c r="H43" i="1"/>
  <c r="I47" i="1"/>
  <c r="I48" i="1"/>
  <c r="I49" i="1"/>
  <c r="I38" i="1"/>
  <c r="H9" i="1"/>
  <c r="G13" i="1" s="1"/>
  <c r="G14" i="1" s="1"/>
  <c r="C36" i="1"/>
  <c r="D36" i="1"/>
  <c r="E36" i="1"/>
  <c r="F36" i="1"/>
  <c r="G36" i="1"/>
  <c r="H44" i="1"/>
  <c r="I44" i="1"/>
  <c r="H45" i="1"/>
  <c r="I45" i="1"/>
  <c r="H46" i="1"/>
  <c r="I46" i="1"/>
  <c r="H47" i="1"/>
  <c r="I43" i="1" l="1"/>
  <c r="I42" i="1"/>
  <c r="H48" i="1"/>
  <c r="I41" i="1"/>
  <c r="I40" i="1"/>
  <c r="I39" i="1"/>
  <c r="B13" i="1"/>
  <c r="C13" i="1"/>
  <c r="C14" i="1" s="1"/>
  <c r="D13" i="1"/>
  <c r="D14" i="1" s="1"/>
  <c r="E13" i="1"/>
  <c r="E14" i="1" s="1"/>
  <c r="H38" i="1"/>
  <c r="H49" i="1"/>
  <c r="B14" i="1" l="1"/>
  <c r="F12" i="1"/>
  <c r="F13" i="1" s="1"/>
  <c r="F14" i="1" s="1"/>
  <c r="H17" i="1" l="1"/>
  <c r="I29" i="1"/>
  <c r="I19" i="1"/>
  <c r="I30" i="1"/>
  <c r="I31" i="1"/>
  <c r="I20" i="1"/>
  <c r="I23" i="1"/>
  <c r="I18" i="1"/>
  <c r="I22" i="1"/>
  <c r="H30" i="1"/>
  <c r="H29" i="1"/>
  <c r="H31" i="1"/>
  <c r="I21" i="1"/>
  <c r="I24" i="1"/>
  <c r="I33" i="1"/>
  <c r="I25" i="1"/>
  <c r="I34" i="1"/>
  <c r="I26" i="1"/>
  <c r="I35" i="1"/>
  <c r="I27" i="1"/>
  <c r="I28" i="1"/>
  <c r="I32" i="1"/>
  <c r="I16" i="1"/>
  <c r="H19" i="1" l="1"/>
  <c r="H20" i="1"/>
  <c r="H23" i="1"/>
  <c r="H18" i="1"/>
  <c r="H21" i="1"/>
  <c r="H22" i="1"/>
  <c r="H16" i="1"/>
  <c r="I50" i="1"/>
  <c r="H24" i="1"/>
  <c r="H33" i="1"/>
  <c r="H25" i="1"/>
  <c r="H34" i="1"/>
  <c r="H26" i="1"/>
  <c r="H35" i="1"/>
  <c r="H27" i="1"/>
  <c r="H28" i="1"/>
  <c r="H32" i="1"/>
  <c r="H50" i="1" l="1"/>
  <c r="B3" i="1" s="1"/>
  <c r="B2" i="1" l="1"/>
  <c r="B4" i="1" s="1"/>
</calcChain>
</file>

<file path=xl/sharedStrings.xml><?xml version="1.0" encoding="utf-8"?>
<sst xmlns="http://schemas.openxmlformats.org/spreadsheetml/2006/main" count="60" uniqueCount="53">
  <si>
    <t xml:space="preserve">Project  </t>
  </si>
  <si>
    <t>Total Fee Estimate</t>
  </si>
  <si>
    <t>Forecast Margin</t>
  </si>
  <si>
    <t>Margin %</t>
  </si>
  <si>
    <t>Overhead and Margin</t>
  </si>
  <si>
    <t>Overhead</t>
  </si>
  <si>
    <t>Proposal Date</t>
  </si>
  <si>
    <t>Margin</t>
  </si>
  <si>
    <t>Expected Commencement</t>
  </si>
  <si>
    <t>Escalation Rate</t>
  </si>
  <si>
    <t>Disbursement Mark Up</t>
  </si>
  <si>
    <t>Expected Completion</t>
  </si>
  <si>
    <t>Escalation This Fee</t>
  </si>
  <si>
    <t>Role</t>
  </si>
  <si>
    <t>Director</t>
  </si>
  <si>
    <t>Project Director</t>
  </si>
  <si>
    <t>Senior Development Manager</t>
  </si>
  <si>
    <t>Project Manager</t>
  </si>
  <si>
    <t>Superintendent</t>
  </si>
  <si>
    <t>Development Manager</t>
  </si>
  <si>
    <t>Base Rate</t>
  </si>
  <si>
    <t>Cost Rate</t>
  </si>
  <si>
    <t>Charge Rate</t>
  </si>
  <si>
    <t>Tasks</t>
  </si>
  <si>
    <t>Hours</t>
  </si>
  <si>
    <t>Charge</t>
  </si>
  <si>
    <t>Cost</t>
  </si>
  <si>
    <t>Total Hours</t>
  </si>
  <si>
    <t>Disbursement</t>
  </si>
  <si>
    <t>Unit</t>
  </si>
  <si>
    <t xml:space="preserve">Rate </t>
  </si>
  <si>
    <t>Phillip Island Nature Parks PMF</t>
  </si>
  <si>
    <t>Issue RFI</t>
  </si>
  <si>
    <t>Review Existing Documents, Regulatory Requirements</t>
  </si>
  <si>
    <t>Wokshop</t>
  </si>
  <si>
    <t>Phase 1 - Part 1 - Discovery</t>
  </si>
  <si>
    <t>Phase 1 - Part 2 - Design</t>
  </si>
  <si>
    <t>Develop PMF</t>
  </si>
  <si>
    <t>Framework Review Workshop</t>
  </si>
  <si>
    <t>Complete Draft Framework</t>
  </si>
  <si>
    <t>Phase 2 - Policies and Procedures</t>
  </si>
  <si>
    <t>Develop Policies and Procedures</t>
  </si>
  <si>
    <t>Polciy and Procedure Workshop</t>
  </si>
  <si>
    <t>Complete Draft Procedures</t>
  </si>
  <si>
    <t>Phase 3 - Consultation</t>
  </si>
  <si>
    <t>Consultation Briefing</t>
  </si>
  <si>
    <t>Consultation Report</t>
  </si>
  <si>
    <t>Phase 4 - Final Framework</t>
  </si>
  <si>
    <t>Complete and Issue</t>
  </si>
  <si>
    <t>Travel</t>
  </si>
  <si>
    <t>KMs</t>
  </si>
  <si>
    <t>Qty</t>
  </si>
  <si>
    <t>Overhead Contribution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</si>
</sst>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164" formatCode="_-&quot;$&quot;* #,##0_-;\-&quot;$&quot;* #,##0_-;_-&quot;$&quot;* &quot;-&quot;??_-;_-@_-"/>
    <numFmt numFmtId="165" formatCode="d/mm/yyyy;@"/>
  </numFmts>
  <fonts count="1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Display"/>
      <family val="2"/>
      <scheme val="major"/>
    </font>
    <font>
      <b/>
      <sz val="11"/>
      <color rgb="FF000000"/>
      <name val="Aptos Display"/>
      <family val="2"/>
      <scheme val="major"/>
    </font>
    <font>
      <b/>
      <sz val="11"/>
      <color theme="1"/>
      <name val="Aptos Display"/>
      <family val="2"/>
      <scheme val="major"/>
    </font>
    <font>
      <b/>
      <sz val="11"/>
      <color theme="0"/>
      <name val="Aptos Display"/>
      <family val="2"/>
      <scheme val="major"/>
    </font>
    <font>
      <b/>
      <sz val="14"/>
      <color theme="0"/>
      <name val="Aptos Display"/>
      <family val="2"/>
      <scheme val="major"/>
    </font>
    <font>
      <sz val="11"/>
      <color rgb="FF000000"/>
      <name val="Aptos Display"/>
      <family val="2"/>
      <scheme val="major"/>
    </font>
    <font>
      <b/>
      <sz val="11"/>
      <name val="Aptos Display"/>
      <family val="2"/>
      <scheme val="major"/>
    </font>
    <font>
      <b/>
      <sz val="14"/>
      <color rgb="FFFFFF00"/>
      <name val="Aptos Display"/>
      <family val="2"/>
      <scheme val="major"/>
    </font>
  </fonts>
  <fills count="10">
    <fill>
      <patternFill patternType="none"/>
    </fill>
    <fill>
      <patternFill patternType="gray125"/>
    </fill>
    <fill>
      <patternFill patternType="solid">
        <fgColor theme="3" tint="9.9978637043366805E-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3" tint="9.9948118533890809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89996032593768116"/>
        <bgColor indexed="64"/>
      </patternFill>
    </fill>
  </fills>
  <borders count="32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8">
    <xf numFmtId="0" fontId="0" fillId="0" borderId="0" xfId="0"/>
    <xf numFmtId="0" fontId="2" fillId="0" borderId="0" xfId="0" applyFont="1"/>
    <xf numFmtId="0" fontId="2" fillId="0" borderId="0" xfId="0" applyFont="1" applyAlignment="1">
      <alignment wrapText="1"/>
    </xf>
    <xf numFmtId="0" fontId="6" fillId="4" borderId="0" xfId="0" applyFont="1" applyFill="1" applyAlignment="1">
      <alignment wrapText="1"/>
    </xf>
    <xf numFmtId="0" fontId="4" fillId="0" borderId="0" xfId="0" applyFont="1" applyAlignment="1">
      <alignment wrapText="1"/>
    </xf>
    <xf numFmtId="164" fontId="2" fillId="3" borderId="5" xfId="1" applyNumberFormat="1" applyFont="1" applyFill="1" applyBorder="1"/>
    <xf numFmtId="164" fontId="2" fillId="3" borderId="6" xfId="1" applyNumberFormat="1" applyFont="1" applyFill="1" applyBorder="1"/>
    <xf numFmtId="0" fontId="2" fillId="3" borderId="4" xfId="0" applyFont="1" applyFill="1" applyBorder="1" applyAlignment="1">
      <alignment horizontal="left" indent="2"/>
    </xf>
    <xf numFmtId="0" fontId="4" fillId="3" borderId="7" xfId="0" applyFont="1" applyFill="1" applyBorder="1" applyAlignment="1">
      <alignment horizontal="left" indent="2"/>
    </xf>
    <xf numFmtId="164" fontId="4" fillId="3" borderId="8" xfId="1" applyNumberFormat="1" applyFont="1" applyFill="1" applyBorder="1"/>
    <xf numFmtId="164" fontId="4" fillId="3" borderId="9" xfId="1" applyNumberFormat="1" applyFont="1" applyFill="1" applyBorder="1"/>
    <xf numFmtId="2" fontId="2" fillId="0" borderId="5" xfId="0" applyNumberFormat="1" applyFont="1" applyBorder="1"/>
    <xf numFmtId="0" fontId="2" fillId="2" borderId="0" xfId="0" applyFont="1" applyFill="1" applyAlignment="1">
      <alignment wrapText="1"/>
    </xf>
    <xf numFmtId="0" fontId="2" fillId="2" borderId="0" xfId="0" applyFont="1" applyFill="1"/>
    <xf numFmtId="0" fontId="4" fillId="3" borderId="0" xfId="0" applyFont="1" applyFill="1" applyAlignment="1">
      <alignment horizontal="left"/>
    </xf>
    <xf numFmtId="0" fontId="2" fillId="3" borderId="0" xfId="0" applyFont="1" applyFill="1"/>
    <xf numFmtId="164" fontId="4" fillId="6" borderId="0" xfId="0" applyNumberFormat="1" applyFont="1" applyFill="1"/>
    <xf numFmtId="0" fontId="2" fillId="6" borderId="0" xfId="0" applyFont="1" applyFill="1"/>
    <xf numFmtId="0" fontId="4" fillId="8" borderId="0" xfId="0" applyFont="1" applyFill="1"/>
    <xf numFmtId="0" fontId="2" fillId="8" borderId="0" xfId="0" applyFont="1" applyFill="1"/>
    <xf numFmtId="0" fontId="2" fillId="8" borderId="0" xfId="0" applyFont="1" applyFill="1" applyAlignment="1">
      <alignment wrapText="1"/>
    </xf>
    <xf numFmtId="0" fontId="4" fillId="8" borderId="0" xfId="0" applyFont="1" applyFill="1" applyAlignment="1">
      <alignment wrapText="1"/>
    </xf>
    <xf numFmtId="164" fontId="2" fillId="8" borderId="0" xfId="1" applyNumberFormat="1" applyFont="1" applyFill="1" applyBorder="1"/>
    <xf numFmtId="44" fontId="2" fillId="8" borderId="0" xfId="0" applyNumberFormat="1" applyFont="1" applyFill="1"/>
    <xf numFmtId="164" fontId="2" fillId="8" borderId="0" xfId="0" applyNumberFormat="1" applyFont="1" applyFill="1"/>
    <xf numFmtId="164" fontId="2" fillId="6" borderId="0" xfId="0" applyNumberFormat="1" applyFont="1" applyFill="1"/>
    <xf numFmtId="0" fontId="5" fillId="4" borderId="0" xfId="0" applyFont="1" applyFill="1" applyAlignment="1">
      <alignment wrapText="1"/>
    </xf>
    <xf numFmtId="0" fontId="5" fillId="2" borderId="0" xfId="0" applyFont="1" applyFill="1" applyAlignment="1">
      <alignment wrapText="1"/>
    </xf>
    <xf numFmtId="10" fontId="8" fillId="2" borderId="0" xfId="2" applyNumberFormat="1" applyFont="1" applyFill="1" applyBorder="1" applyAlignment="1">
      <alignment horizontal="center" wrapText="1"/>
    </xf>
    <xf numFmtId="0" fontId="7" fillId="8" borderId="0" xfId="0" applyFont="1" applyFill="1" applyAlignment="1">
      <alignment vertical="center" wrapText="1"/>
    </xf>
    <xf numFmtId="0" fontId="4" fillId="3" borderId="1" xfId="0" applyFont="1" applyFill="1" applyBorder="1" applyAlignment="1">
      <alignment vertical="top" wrapText="1"/>
    </xf>
    <xf numFmtId="164" fontId="2" fillId="0" borderId="5" xfId="1" applyNumberFormat="1" applyFont="1" applyFill="1" applyBorder="1"/>
    <xf numFmtId="164" fontId="2" fillId="0" borderId="6" xfId="1" applyNumberFormat="1" applyFont="1" applyFill="1" applyBorder="1"/>
    <xf numFmtId="2" fontId="2" fillId="0" borderId="2" xfId="0" applyNumberFormat="1" applyFont="1" applyBorder="1"/>
    <xf numFmtId="2" fontId="2" fillId="0" borderId="2" xfId="2" applyNumberFormat="1" applyFont="1" applyFill="1" applyBorder="1"/>
    <xf numFmtId="2" fontId="2" fillId="0" borderId="3" xfId="0" applyNumberFormat="1" applyFont="1" applyBorder="1"/>
    <xf numFmtId="2" fontId="2" fillId="0" borderId="5" xfId="2" applyNumberFormat="1" applyFont="1" applyFill="1" applyBorder="1"/>
    <xf numFmtId="2" fontId="2" fillId="0" borderId="6" xfId="0" applyNumberFormat="1" applyFont="1" applyBorder="1"/>
    <xf numFmtId="2" fontId="2" fillId="0" borderId="8" xfId="0" applyNumberFormat="1" applyFont="1" applyBorder="1"/>
    <xf numFmtId="2" fontId="2" fillId="7" borderId="2" xfId="0" applyNumberFormat="1" applyFont="1" applyFill="1" applyBorder="1"/>
    <xf numFmtId="2" fontId="2" fillId="7" borderId="8" xfId="0" applyNumberFormat="1" applyFont="1" applyFill="1" applyBorder="1"/>
    <xf numFmtId="14" fontId="2" fillId="0" borderId="20" xfId="0" applyNumberFormat="1" applyFont="1" applyBorder="1" applyAlignment="1">
      <alignment wrapText="1"/>
    </xf>
    <xf numFmtId="165" fontId="7" fillId="0" borderId="21" xfId="0" applyNumberFormat="1" applyFont="1" applyBorder="1" applyAlignment="1">
      <alignment vertical="center" wrapText="1"/>
    </xf>
    <xf numFmtId="165" fontId="7" fillId="0" borderId="22" xfId="0" applyNumberFormat="1" applyFont="1" applyBorder="1" applyAlignment="1">
      <alignment vertical="center" wrapText="1"/>
    </xf>
    <xf numFmtId="9" fontId="4" fillId="0" borderId="20" xfId="0" applyNumberFormat="1" applyFont="1" applyBorder="1" applyAlignment="1">
      <alignment wrapText="1"/>
    </xf>
    <xf numFmtId="9" fontId="4" fillId="0" borderId="21" xfId="0" applyNumberFormat="1" applyFont="1" applyBorder="1" applyAlignment="1">
      <alignment wrapText="1"/>
    </xf>
    <xf numFmtId="9" fontId="4" fillId="0" borderId="22" xfId="2" applyFont="1" applyFill="1" applyBorder="1" applyAlignment="1">
      <alignment wrapText="1"/>
    </xf>
    <xf numFmtId="9" fontId="3" fillId="0" borderId="20" xfId="2" applyFont="1" applyFill="1" applyBorder="1" applyAlignment="1">
      <alignment vertical="center" wrapText="1"/>
    </xf>
    <xf numFmtId="164" fontId="4" fillId="3" borderId="1" xfId="0" applyNumberFormat="1" applyFont="1" applyFill="1" applyBorder="1"/>
    <xf numFmtId="164" fontId="2" fillId="3" borderId="3" xfId="0" applyNumberFormat="1" applyFont="1" applyFill="1" applyBorder="1"/>
    <xf numFmtId="164" fontId="4" fillId="3" borderId="4" xfId="0" applyNumberFormat="1" applyFont="1" applyFill="1" applyBorder="1"/>
    <xf numFmtId="164" fontId="2" fillId="3" borderId="6" xfId="0" applyNumberFormat="1" applyFont="1" applyFill="1" applyBorder="1"/>
    <xf numFmtId="164" fontId="4" fillId="3" borderId="7" xfId="0" applyNumberFormat="1" applyFont="1" applyFill="1" applyBorder="1"/>
    <xf numFmtId="164" fontId="2" fillId="3" borderId="9" xfId="0" applyNumberFormat="1" applyFont="1" applyFill="1" applyBorder="1"/>
    <xf numFmtId="2" fontId="2" fillId="3" borderId="3" xfId="0" applyNumberFormat="1" applyFont="1" applyFill="1" applyBorder="1"/>
    <xf numFmtId="2" fontId="2" fillId="3" borderId="9" xfId="0" applyNumberFormat="1" applyFont="1" applyFill="1" applyBorder="1"/>
    <xf numFmtId="2" fontId="2" fillId="0" borderId="10" xfId="0" applyNumberFormat="1" applyFont="1" applyBorder="1"/>
    <xf numFmtId="2" fontId="2" fillId="0" borderId="10" xfId="2" applyNumberFormat="1" applyFont="1" applyFill="1" applyBorder="1"/>
    <xf numFmtId="2" fontId="2" fillId="0" borderId="11" xfId="0" applyNumberFormat="1" applyFont="1" applyBorder="1"/>
    <xf numFmtId="2" fontId="2" fillId="3" borderId="6" xfId="0" applyNumberFormat="1" applyFont="1" applyFill="1" applyBorder="1"/>
    <xf numFmtId="0" fontId="4" fillId="8" borderId="0" xfId="0" applyFont="1" applyFill="1" applyAlignment="1">
      <alignment horizontal="right" wrapText="1"/>
    </xf>
    <xf numFmtId="0" fontId="2" fillId="8" borderId="0" xfId="0" applyFont="1" applyFill="1" applyAlignment="1">
      <alignment horizontal="right" wrapText="1"/>
    </xf>
    <xf numFmtId="2" fontId="2" fillId="0" borderId="25" xfId="0" applyNumberFormat="1" applyFont="1" applyBorder="1"/>
    <xf numFmtId="2" fontId="2" fillId="0" borderId="26" xfId="0" applyNumberFormat="1" applyFont="1" applyBorder="1"/>
    <xf numFmtId="0" fontId="4" fillId="3" borderId="27" xfId="0" applyFont="1" applyFill="1" applyBorder="1"/>
    <xf numFmtId="2" fontId="4" fillId="3" borderId="28" xfId="0" applyNumberFormat="1" applyFont="1" applyFill="1" applyBorder="1"/>
    <xf numFmtId="2" fontId="4" fillId="3" borderId="29" xfId="0" applyNumberFormat="1" applyFont="1" applyFill="1" applyBorder="1"/>
    <xf numFmtId="2" fontId="2" fillId="7" borderId="5" xfId="0" applyNumberFormat="1" applyFont="1" applyFill="1" applyBorder="1"/>
    <xf numFmtId="0" fontId="2" fillId="0" borderId="1" xfId="0" applyFont="1" applyBorder="1" applyAlignment="1">
      <alignment wrapText="1"/>
    </xf>
    <xf numFmtId="0" fontId="2" fillId="0" borderId="15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2" fillId="0" borderId="24" xfId="0" applyFont="1" applyBorder="1" applyAlignment="1">
      <alignment wrapText="1"/>
    </xf>
    <xf numFmtId="0" fontId="2" fillId="0" borderId="7" xfId="0" applyFont="1" applyBorder="1" applyAlignment="1">
      <alignment wrapText="1"/>
    </xf>
    <xf numFmtId="9" fontId="2" fillId="3" borderId="22" xfId="2" applyFont="1" applyFill="1" applyBorder="1" applyAlignment="1">
      <alignment wrapText="1"/>
    </xf>
    <xf numFmtId="2" fontId="2" fillId="9" borderId="3" xfId="0" applyNumberFormat="1" applyFont="1" applyFill="1" applyBorder="1"/>
    <xf numFmtId="2" fontId="2" fillId="9" borderId="6" xfId="0" applyNumberFormat="1" applyFont="1" applyFill="1" applyBorder="1"/>
    <xf numFmtId="2" fontId="2" fillId="9" borderId="9" xfId="0" applyNumberFormat="1" applyFont="1" applyFill="1" applyBorder="1"/>
    <xf numFmtId="0" fontId="4" fillId="0" borderId="2" xfId="0" applyFont="1" applyBorder="1" applyAlignment="1">
      <alignment vertical="top" wrapText="1"/>
    </xf>
    <xf numFmtId="0" fontId="4" fillId="0" borderId="3" xfId="0" applyFont="1" applyBorder="1" applyAlignment="1">
      <alignment vertical="top" wrapText="1"/>
    </xf>
    <xf numFmtId="0" fontId="4" fillId="0" borderId="15" xfId="0" applyFont="1" applyBorder="1" applyAlignment="1">
      <alignment wrapText="1"/>
    </xf>
    <xf numFmtId="0" fontId="4" fillId="0" borderId="1" xfId="0" applyFont="1" applyBorder="1" applyAlignment="1">
      <alignment wrapText="1"/>
    </xf>
    <xf numFmtId="0" fontId="4" fillId="8" borderId="16" xfId="0" applyFont="1" applyFill="1" applyBorder="1" applyAlignment="1">
      <alignment horizontal="right" wrapText="1"/>
    </xf>
    <xf numFmtId="0" fontId="4" fillId="8" borderId="23" xfId="0" applyFont="1" applyFill="1" applyBorder="1" applyAlignment="1">
      <alignment horizontal="right" wrapText="1"/>
    </xf>
    <xf numFmtId="0" fontId="9" fillId="4" borderId="0" xfId="0" applyFont="1" applyFill="1" applyAlignment="1">
      <alignment horizontal="center" wrapText="1"/>
    </xf>
    <xf numFmtId="0" fontId="6" fillId="4" borderId="0" xfId="0" applyFont="1" applyFill="1" applyAlignment="1">
      <alignment horizontal="center" wrapText="1"/>
    </xf>
    <xf numFmtId="164" fontId="8" fillId="5" borderId="14" xfId="1" applyNumberFormat="1" applyFont="1" applyFill="1" applyBorder="1" applyAlignment="1">
      <alignment horizontal="center" wrapText="1"/>
    </xf>
    <xf numFmtId="164" fontId="8" fillId="5" borderId="17" xfId="1" applyNumberFormat="1" applyFont="1" applyFill="1" applyBorder="1" applyAlignment="1">
      <alignment horizontal="center" wrapText="1"/>
    </xf>
    <xf numFmtId="44" fontId="8" fillId="5" borderId="12" xfId="2" applyNumberFormat="1" applyFont="1" applyFill="1" applyBorder="1" applyAlignment="1">
      <alignment horizontal="center" wrapText="1"/>
    </xf>
    <xf numFmtId="44" fontId="8" fillId="5" borderId="18" xfId="2" applyNumberFormat="1" applyFont="1" applyFill="1" applyBorder="1" applyAlignment="1">
      <alignment horizontal="center" wrapText="1"/>
    </xf>
    <xf numFmtId="10" fontId="8" fillId="5" borderId="13" xfId="2" applyNumberFormat="1" applyFont="1" applyFill="1" applyBorder="1" applyAlignment="1">
      <alignment horizontal="center" wrapText="1"/>
    </xf>
    <xf numFmtId="10" fontId="8" fillId="5" borderId="19" xfId="2" applyNumberFormat="1" applyFont="1" applyFill="1" applyBorder="1" applyAlignment="1">
      <alignment horizontal="center" wrapText="1"/>
    </xf>
    <xf numFmtId="0" fontId="4" fillId="0" borderId="4" xfId="0" applyFont="1" applyBorder="1" applyAlignment="1">
      <alignment wrapText="1"/>
    </xf>
    <xf numFmtId="2" fontId="2" fillId="0" borderId="2" xfId="0" applyNumberFormat="1" applyFont="1" applyFill="1" applyBorder="1"/>
    <xf numFmtId="2" fontId="2" fillId="0" borderId="5" xfId="0" applyNumberFormat="1" applyFont="1" applyFill="1" applyBorder="1"/>
    <xf numFmtId="2" fontId="2" fillId="0" borderId="8" xfId="0" applyNumberFormat="1" applyFont="1" applyFill="1" applyBorder="1"/>
    <xf numFmtId="0" fontId="5" fillId="4" borderId="0" xfId="0" applyFont="1" applyFill="1" applyAlignment="1"/>
    <xf numFmtId="164" fontId="8" fillId="5" borderId="30" xfId="1" applyNumberFormat="1" applyFont="1" applyFill="1" applyBorder="1" applyAlignment="1">
      <alignment horizontal="center" wrapText="1"/>
    </xf>
    <xf numFmtId="164" fontId="8" fillId="5" borderId="31" xfId="1" applyNumberFormat="1" applyFont="1" applyFill="1" applyBorder="1" applyAlignment="1">
      <alignment horizontal="center" wrapText="1"/>
    </xf>
  </cellXfs>
  <cellStyles count="3">
    <cellStyle name="Currency" xfId="1" builtinId="4"/>
    <cellStyle name="Normal" xfId="0" builtinId="0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F1623-1702-4697-90FA-738B2A703CC8}">
  <sheetPr>
    <pageSetUpPr fitToPage="1"/>
  </sheetPr>
  <dimension ref="A1:I50"/>
  <sheetViews>
    <sheetView tabSelected="1" zoomScaleNormal="100" workbookViewId="0">
      <selection activeCell="M25" sqref="M25"/>
    </sheetView>
  </sheetViews>
  <sheetFormatPr defaultColWidth="9" defaultRowHeight="15" customHeight="1" outlineLevelRow="1" x14ac:dyDescent="0.25"/>
  <cols>
    <col min="1" max="1" width="43.28515625" style="1" customWidth="1"/>
    <col min="2" max="9" width="13.85546875" style="1" customWidth="1"/>
    <col min="10" max="10" width="10" style="1" bestFit="1" customWidth="1"/>
    <col min="11" max="11" width="14.5703125" style="1" bestFit="1" customWidth="1"/>
    <col min="12" max="16384" width="9" style="1"/>
  </cols>
  <sheetData>
    <row r="1" spans="1:9" s="2" customFormat="1" ht="18.75" x14ac:dyDescent="0.3">
      <c r="A1" s="3" t="s">
        <v>0</v>
      </c>
      <c r="B1" s="83" t="s">
        <v>31</v>
      </c>
      <c r="C1" s="84"/>
      <c r="D1" s="84"/>
      <c r="E1" s="84"/>
      <c r="F1" s="84"/>
      <c r="G1" s="84"/>
      <c r="H1" s="12"/>
      <c r="I1" s="12"/>
    </row>
    <row r="2" spans="1:9" s="2" customFormat="1" x14ac:dyDescent="0.25">
      <c r="A2" s="26" t="s">
        <v>1</v>
      </c>
      <c r="B2" s="85">
        <f>H50</f>
        <v>36529.200000000004</v>
      </c>
      <c r="C2" s="86"/>
      <c r="D2" s="12"/>
      <c r="E2" s="12"/>
      <c r="F2" s="95" t="s">
        <v>52</v>
      </c>
      <c r="G2" s="12"/>
      <c r="H2" s="96">
        <f>SUM(I16:I36)-(SUM(I16:I36)/(1+B7))</f>
        <v>4562.880000000001</v>
      </c>
      <c r="I2" s="97"/>
    </row>
    <row r="3" spans="1:9" s="2" customFormat="1" x14ac:dyDescent="0.25">
      <c r="A3" s="26" t="s">
        <v>2</v>
      </c>
      <c r="B3" s="87">
        <f>H50-I50</f>
        <v>11981.919999999998</v>
      </c>
      <c r="C3" s="88"/>
      <c r="D3" s="12"/>
      <c r="E3" s="12"/>
      <c r="F3" s="12"/>
      <c r="G3" s="12"/>
      <c r="H3" s="12"/>
      <c r="I3" s="12"/>
    </row>
    <row r="4" spans="1:9" x14ac:dyDescent="0.25">
      <c r="A4" s="26" t="s">
        <v>3</v>
      </c>
      <c r="B4" s="89">
        <f>B3/B2</f>
        <v>0.32800937332325913</v>
      </c>
      <c r="C4" s="90"/>
      <c r="D4" s="13"/>
      <c r="E4" s="13"/>
      <c r="F4" s="13"/>
      <c r="G4" s="13"/>
      <c r="H4" s="13"/>
      <c r="I4" s="13"/>
    </row>
    <row r="5" spans="1:9" x14ac:dyDescent="0.25">
      <c r="A5" s="27"/>
      <c r="B5" s="28"/>
      <c r="C5" s="28"/>
      <c r="D5" s="13"/>
      <c r="E5" s="13"/>
      <c r="F5" s="13"/>
      <c r="G5" s="13"/>
      <c r="H5" s="13"/>
      <c r="I5" s="13"/>
    </row>
    <row r="6" spans="1:9" x14ac:dyDescent="0.25">
      <c r="A6" s="14" t="s">
        <v>4</v>
      </c>
      <c r="B6" s="15"/>
      <c r="C6" s="15"/>
      <c r="D6" s="15"/>
      <c r="E6" s="15"/>
      <c r="F6" s="15"/>
      <c r="G6" s="15"/>
      <c r="H6" s="15"/>
      <c r="I6" s="15"/>
    </row>
    <row r="7" spans="1:9" s="2" customFormat="1" x14ac:dyDescent="0.25">
      <c r="A7" s="60" t="s">
        <v>5</v>
      </c>
      <c r="B7" s="44">
        <v>0.24</v>
      </c>
      <c r="C7" s="81" t="s">
        <v>6</v>
      </c>
      <c r="D7" s="82"/>
      <c r="E7" s="41">
        <v>45631</v>
      </c>
      <c r="F7" s="61"/>
      <c r="G7" s="61"/>
      <c r="H7" s="29"/>
      <c r="I7" s="20"/>
    </row>
    <row r="8" spans="1:9" s="2" customFormat="1" x14ac:dyDescent="0.25">
      <c r="A8" s="60" t="s">
        <v>7</v>
      </c>
      <c r="B8" s="45">
        <v>0.5</v>
      </c>
      <c r="C8" s="81" t="s">
        <v>8</v>
      </c>
      <c r="D8" s="82"/>
      <c r="E8" s="42">
        <v>45663</v>
      </c>
      <c r="F8" s="81" t="s">
        <v>9</v>
      </c>
      <c r="G8" s="82"/>
      <c r="H8" s="47">
        <v>0.05</v>
      </c>
      <c r="I8" s="20"/>
    </row>
    <row r="9" spans="1:9" x14ac:dyDescent="0.25">
      <c r="A9" s="60" t="s">
        <v>10</v>
      </c>
      <c r="B9" s="46">
        <v>0.2</v>
      </c>
      <c r="C9" s="81" t="s">
        <v>11</v>
      </c>
      <c r="D9" s="82"/>
      <c r="E9" s="43">
        <v>45777</v>
      </c>
      <c r="F9" s="81" t="s">
        <v>12</v>
      </c>
      <c r="G9" s="82"/>
      <c r="H9" s="73">
        <f>IF(E9-E7&lt;457, 0, ((E9-E7-365)/365)*H8)</f>
        <v>0</v>
      </c>
      <c r="I9" s="20"/>
    </row>
    <row r="10" spans="1:9" x14ac:dyDescent="0.25">
      <c r="A10" s="20"/>
      <c r="B10" s="20"/>
      <c r="C10" s="20"/>
      <c r="D10" s="20"/>
      <c r="E10" s="20"/>
      <c r="F10" s="20"/>
      <c r="G10" s="20"/>
      <c r="H10" s="20"/>
      <c r="I10" s="20"/>
    </row>
    <row r="11" spans="1:9" s="4" customFormat="1" ht="45" x14ac:dyDescent="0.25">
      <c r="A11" s="30" t="s">
        <v>13</v>
      </c>
      <c r="B11" s="77" t="s">
        <v>14</v>
      </c>
      <c r="C11" s="77" t="s">
        <v>15</v>
      </c>
      <c r="D11" s="77" t="s">
        <v>16</v>
      </c>
      <c r="E11" s="77" t="s">
        <v>17</v>
      </c>
      <c r="F11" s="77" t="s">
        <v>18</v>
      </c>
      <c r="G11" s="78" t="s">
        <v>19</v>
      </c>
      <c r="H11" s="21"/>
      <c r="I11" s="21"/>
    </row>
    <row r="12" spans="1:9" outlineLevel="1" x14ac:dyDescent="0.25">
      <c r="A12" s="7" t="s">
        <v>20</v>
      </c>
      <c r="B12" s="31">
        <v>194</v>
      </c>
      <c r="C12" s="31">
        <v>143</v>
      </c>
      <c r="D12" s="31">
        <v>130</v>
      </c>
      <c r="E12" s="31">
        <v>78</v>
      </c>
      <c r="F12" s="31">
        <f>1520/8</f>
        <v>190</v>
      </c>
      <c r="G12" s="32">
        <v>78</v>
      </c>
      <c r="H12" s="22"/>
      <c r="I12" s="19"/>
    </row>
    <row r="13" spans="1:9" outlineLevel="1" x14ac:dyDescent="0.25">
      <c r="A13" s="7" t="s">
        <v>21</v>
      </c>
      <c r="B13" s="5">
        <f>(B12*(1+$B7))*(1+$H$9)</f>
        <v>240.56</v>
      </c>
      <c r="C13" s="5">
        <f t="shared" ref="C13:G13" si="0">(C12*(1+$B7))*(1+$H$9)</f>
        <v>177.32</v>
      </c>
      <c r="D13" s="5">
        <f t="shared" si="0"/>
        <v>161.19999999999999</v>
      </c>
      <c r="E13" s="5">
        <f t="shared" si="0"/>
        <v>96.72</v>
      </c>
      <c r="F13" s="5">
        <f t="shared" si="0"/>
        <v>235.6</v>
      </c>
      <c r="G13" s="6">
        <f t="shared" si="0"/>
        <v>96.72</v>
      </c>
      <c r="H13" s="23"/>
      <c r="I13" s="19"/>
    </row>
    <row r="14" spans="1:9" outlineLevel="1" x14ac:dyDescent="0.25">
      <c r="A14" s="8" t="s">
        <v>22</v>
      </c>
      <c r="B14" s="9">
        <f>B13*(1+$B$8)*(1+$H$9)</f>
        <v>360.84000000000003</v>
      </c>
      <c r="C14" s="9">
        <f t="shared" ref="C14:G14" si="1">C13*(1+$B$8)*(1+$H$9)</f>
        <v>265.98</v>
      </c>
      <c r="D14" s="9">
        <f t="shared" si="1"/>
        <v>241.79999999999998</v>
      </c>
      <c r="E14" s="9">
        <f t="shared" si="1"/>
        <v>145.07999999999998</v>
      </c>
      <c r="F14" s="9">
        <f t="shared" si="1"/>
        <v>353.4</v>
      </c>
      <c r="G14" s="10">
        <f t="shared" si="1"/>
        <v>145.07999999999998</v>
      </c>
      <c r="H14" s="19"/>
      <c r="I14" s="19"/>
    </row>
    <row r="15" spans="1:9" x14ac:dyDescent="0.25">
      <c r="A15" s="18" t="s">
        <v>23</v>
      </c>
      <c r="B15" s="19" t="s">
        <v>24</v>
      </c>
      <c r="C15" s="19" t="s">
        <v>24</v>
      </c>
      <c r="D15" s="19" t="s">
        <v>24</v>
      </c>
      <c r="E15" s="19" t="s">
        <v>24</v>
      </c>
      <c r="F15" s="19" t="s">
        <v>24</v>
      </c>
      <c r="G15" s="19" t="s">
        <v>24</v>
      </c>
      <c r="H15" s="19" t="s">
        <v>25</v>
      </c>
      <c r="I15" s="19" t="s">
        <v>26</v>
      </c>
    </row>
    <row r="16" spans="1:9" x14ac:dyDescent="0.25">
      <c r="A16" s="80" t="s">
        <v>35</v>
      </c>
      <c r="B16" s="33"/>
      <c r="C16" s="33"/>
      <c r="D16" s="34"/>
      <c r="E16" s="33"/>
      <c r="F16" s="33"/>
      <c r="G16" s="35"/>
      <c r="H16" s="48">
        <f>(B16*B$14)+(C$14*C16)+(D$14*D16)+(E$14*E16)+(F$14*F16)+(G$14*G16)</f>
        <v>0</v>
      </c>
      <c r="I16" s="49">
        <f>+(B$13*B16)+(C$13*C16)+(D$13*D16)+(E$13*E16)+(F$13*F16)+(G$13*G16)</f>
        <v>0</v>
      </c>
    </row>
    <row r="17" spans="1:9" x14ac:dyDescent="0.25">
      <c r="A17" s="70" t="s">
        <v>32</v>
      </c>
      <c r="B17" s="11">
        <v>2</v>
      </c>
      <c r="C17" s="11"/>
      <c r="D17" s="57"/>
      <c r="E17" s="56"/>
      <c r="F17" s="56"/>
      <c r="G17" s="58"/>
      <c r="H17" s="50">
        <f>(B17*B$14)+(C$14*C17)+(D$14*D17)+(E$14*E17)+(F$14*F17)+(G$14*G17)</f>
        <v>721.68000000000006</v>
      </c>
      <c r="I17" s="51">
        <f>+(B$13*B17)+(C$13*C17)+(D$13*D17)+(E$13*E17)+(F$13*F17)+(G$13*G17)</f>
        <v>481.12</v>
      </c>
    </row>
    <row r="18" spans="1:9" ht="30" x14ac:dyDescent="0.25">
      <c r="A18" s="69" t="s">
        <v>33</v>
      </c>
      <c r="B18" s="56">
        <v>16</v>
      </c>
      <c r="C18" s="56"/>
      <c r="D18" s="57"/>
      <c r="E18" s="56"/>
      <c r="F18" s="56"/>
      <c r="G18" s="58"/>
      <c r="H18" s="50">
        <f t="shared" ref="H17:H23" si="2">(B18*B$14)+(C$14*C18)+(D$14*D18)+(E$14*E18)+(F$14*F18)+(G$14*G18)</f>
        <v>5773.4400000000005</v>
      </c>
      <c r="I18" s="51">
        <f t="shared" ref="I17:I23" si="3">+(B$13*B18)+(C$13*C18)+(D$13*D18)+(E$13*E18)+(F$13*F18)+(G$13*G18)</f>
        <v>3848.96</v>
      </c>
    </row>
    <row r="19" spans="1:9" x14ac:dyDescent="0.25">
      <c r="A19" s="69" t="s">
        <v>34</v>
      </c>
      <c r="B19" s="56">
        <v>8</v>
      </c>
      <c r="C19" s="56"/>
      <c r="D19" s="57"/>
      <c r="E19" s="56"/>
      <c r="F19" s="56"/>
      <c r="G19" s="58"/>
      <c r="H19" s="50">
        <f t="shared" si="2"/>
        <v>2886.7200000000003</v>
      </c>
      <c r="I19" s="51">
        <f t="shared" si="3"/>
        <v>1924.48</v>
      </c>
    </row>
    <row r="20" spans="1:9" x14ac:dyDescent="0.25">
      <c r="A20" s="79" t="s">
        <v>36</v>
      </c>
      <c r="B20" s="56"/>
      <c r="C20" s="56"/>
      <c r="D20" s="57"/>
      <c r="E20" s="56"/>
      <c r="F20" s="56"/>
      <c r="G20" s="58"/>
      <c r="H20" s="50">
        <f t="shared" si="2"/>
        <v>0</v>
      </c>
      <c r="I20" s="51">
        <f t="shared" si="3"/>
        <v>0</v>
      </c>
    </row>
    <row r="21" spans="1:9" x14ac:dyDescent="0.25">
      <c r="A21" s="69" t="s">
        <v>37</v>
      </c>
      <c r="B21" s="56">
        <v>16</v>
      </c>
      <c r="C21" s="56"/>
      <c r="D21" s="57"/>
      <c r="E21" s="56"/>
      <c r="F21" s="56"/>
      <c r="G21" s="58"/>
      <c r="H21" s="50">
        <f t="shared" si="2"/>
        <v>5773.4400000000005</v>
      </c>
      <c r="I21" s="51">
        <f t="shared" si="3"/>
        <v>3848.96</v>
      </c>
    </row>
    <row r="22" spans="1:9" x14ac:dyDescent="0.25">
      <c r="A22" s="69" t="s">
        <v>38</v>
      </c>
      <c r="B22" s="56">
        <v>8</v>
      </c>
      <c r="C22" s="56"/>
      <c r="D22" s="57"/>
      <c r="E22" s="56"/>
      <c r="F22" s="56"/>
      <c r="G22" s="58"/>
      <c r="H22" s="50">
        <f t="shared" si="2"/>
        <v>2886.7200000000003</v>
      </c>
      <c r="I22" s="51">
        <f t="shared" si="3"/>
        <v>1924.48</v>
      </c>
    </row>
    <row r="23" spans="1:9" x14ac:dyDescent="0.25">
      <c r="A23" s="69" t="s">
        <v>39</v>
      </c>
      <c r="B23" s="56">
        <v>4</v>
      </c>
      <c r="C23" s="56"/>
      <c r="D23" s="57"/>
      <c r="E23" s="56"/>
      <c r="F23" s="56"/>
      <c r="G23" s="58"/>
      <c r="H23" s="50">
        <f t="shared" si="2"/>
        <v>1443.3600000000001</v>
      </c>
      <c r="I23" s="51">
        <f t="shared" si="3"/>
        <v>962.24</v>
      </c>
    </row>
    <row r="24" spans="1:9" x14ac:dyDescent="0.25">
      <c r="A24" s="91" t="s">
        <v>40</v>
      </c>
      <c r="B24" s="11"/>
      <c r="C24" s="11"/>
      <c r="D24" s="36"/>
      <c r="E24" s="11"/>
      <c r="F24" s="11"/>
      <c r="G24" s="37"/>
      <c r="H24" s="50">
        <f t="shared" ref="H24:H35" si="4">(B24*B$14)+(C$14*C24)+(D$14*D24)+(E$14*E24)+(F$14*F24)+(G$14*G24)</f>
        <v>0</v>
      </c>
      <c r="I24" s="51">
        <f t="shared" ref="I24:I35" si="5">+(B$13*B24)+(C$13*C24)+(D$13*D24)+(E$13*E24)+(F$13*F24)+(G$13*G24)</f>
        <v>0</v>
      </c>
    </row>
    <row r="25" spans="1:9" x14ac:dyDescent="0.25">
      <c r="A25" s="70" t="s">
        <v>41</v>
      </c>
      <c r="B25" s="11">
        <v>16</v>
      </c>
      <c r="C25" s="11"/>
      <c r="D25" s="11"/>
      <c r="E25" s="11"/>
      <c r="F25" s="11"/>
      <c r="G25" s="37"/>
      <c r="H25" s="50">
        <f t="shared" si="4"/>
        <v>5773.4400000000005</v>
      </c>
      <c r="I25" s="51">
        <f t="shared" si="5"/>
        <v>3848.96</v>
      </c>
    </row>
    <row r="26" spans="1:9" ht="15" customHeight="1" x14ac:dyDescent="0.25">
      <c r="A26" s="70" t="s">
        <v>42</v>
      </c>
      <c r="B26" s="11">
        <v>8</v>
      </c>
      <c r="C26" s="11"/>
      <c r="D26" s="11"/>
      <c r="E26" s="11"/>
      <c r="F26" s="11"/>
      <c r="G26" s="37"/>
      <c r="H26" s="50">
        <f t="shared" si="4"/>
        <v>2886.7200000000003</v>
      </c>
      <c r="I26" s="51">
        <f t="shared" si="5"/>
        <v>1924.48</v>
      </c>
    </row>
    <row r="27" spans="1:9" ht="15" customHeight="1" x14ac:dyDescent="0.25">
      <c r="A27" s="70" t="s">
        <v>43</v>
      </c>
      <c r="B27" s="11">
        <v>4</v>
      </c>
      <c r="C27" s="11"/>
      <c r="D27" s="11"/>
      <c r="E27" s="11"/>
      <c r="F27" s="11"/>
      <c r="G27" s="37"/>
      <c r="H27" s="50">
        <f t="shared" si="4"/>
        <v>1443.3600000000001</v>
      </c>
      <c r="I27" s="51">
        <f t="shared" si="5"/>
        <v>962.24</v>
      </c>
    </row>
    <row r="28" spans="1:9" ht="15" customHeight="1" x14ac:dyDescent="0.25">
      <c r="A28" s="91" t="s">
        <v>44</v>
      </c>
      <c r="B28" s="11"/>
      <c r="C28" s="11"/>
      <c r="D28" s="11"/>
      <c r="E28" s="11"/>
      <c r="F28" s="11"/>
      <c r="G28" s="37"/>
      <c r="H28" s="50">
        <f t="shared" si="4"/>
        <v>0</v>
      </c>
      <c r="I28" s="51">
        <f t="shared" si="5"/>
        <v>0</v>
      </c>
    </row>
    <row r="29" spans="1:9" ht="15" customHeight="1" x14ac:dyDescent="0.25">
      <c r="A29" s="70" t="s">
        <v>45</v>
      </c>
      <c r="B29" s="11">
        <v>8</v>
      </c>
      <c r="C29" s="11"/>
      <c r="D29" s="11"/>
      <c r="E29" s="11"/>
      <c r="F29" s="11"/>
      <c r="G29" s="37"/>
      <c r="H29" s="50">
        <f t="shared" ref="H29:H31" si="6">(B29*B$14)+(C$14*C29)+(D$14*D29)+(E$14*E29)+(F$14*F29)+(G$14*G29)</f>
        <v>2886.7200000000003</v>
      </c>
      <c r="I29" s="51">
        <f t="shared" ref="I29:I31" si="7">+(B$13*B29)+(C$13*C29)+(D$13*D29)+(E$13*E29)+(F$13*F29)+(G$13*G29)</f>
        <v>1924.48</v>
      </c>
    </row>
    <row r="30" spans="1:9" ht="15" customHeight="1" x14ac:dyDescent="0.25">
      <c r="A30" s="70" t="s">
        <v>46</v>
      </c>
      <c r="B30" s="11">
        <v>4</v>
      </c>
      <c r="C30" s="11"/>
      <c r="D30" s="11"/>
      <c r="E30" s="11"/>
      <c r="F30" s="11"/>
      <c r="G30" s="37"/>
      <c r="H30" s="50">
        <f t="shared" si="6"/>
        <v>1443.3600000000001</v>
      </c>
      <c r="I30" s="51">
        <f t="shared" si="7"/>
        <v>962.24</v>
      </c>
    </row>
    <row r="31" spans="1:9" ht="15" customHeight="1" x14ac:dyDescent="0.25">
      <c r="A31" s="91" t="s">
        <v>47</v>
      </c>
      <c r="B31" s="11"/>
      <c r="C31" s="11"/>
      <c r="D31" s="11"/>
      <c r="E31" s="11"/>
      <c r="F31" s="11"/>
      <c r="G31" s="37"/>
      <c r="H31" s="50">
        <f t="shared" si="6"/>
        <v>0</v>
      </c>
      <c r="I31" s="51">
        <f t="shared" si="7"/>
        <v>0</v>
      </c>
    </row>
    <row r="32" spans="1:9" ht="15" customHeight="1" x14ac:dyDescent="0.25">
      <c r="A32" s="70" t="s">
        <v>48</v>
      </c>
      <c r="B32" s="11">
        <v>4</v>
      </c>
      <c r="C32" s="11"/>
      <c r="D32" s="11"/>
      <c r="E32" s="11"/>
      <c r="F32" s="11"/>
      <c r="G32" s="37"/>
      <c r="H32" s="50">
        <f t="shared" si="4"/>
        <v>1443.3600000000001</v>
      </c>
      <c r="I32" s="51">
        <f t="shared" si="5"/>
        <v>962.24</v>
      </c>
    </row>
    <row r="33" spans="1:9" ht="15" customHeight="1" x14ac:dyDescent="0.25">
      <c r="A33" s="70"/>
      <c r="B33" s="11"/>
      <c r="C33" s="11"/>
      <c r="D33" s="11"/>
      <c r="E33" s="11"/>
      <c r="F33" s="11"/>
      <c r="G33" s="37"/>
      <c r="H33" s="50">
        <f t="shared" si="4"/>
        <v>0</v>
      </c>
      <c r="I33" s="51">
        <f t="shared" si="5"/>
        <v>0</v>
      </c>
    </row>
    <row r="34" spans="1:9" ht="15" customHeight="1" x14ac:dyDescent="0.25">
      <c r="A34" s="70"/>
      <c r="B34" s="11"/>
      <c r="C34" s="11"/>
      <c r="D34" s="11"/>
      <c r="E34" s="11"/>
      <c r="F34" s="11"/>
      <c r="G34" s="37"/>
      <c r="H34" s="50">
        <f t="shared" si="4"/>
        <v>0</v>
      </c>
      <c r="I34" s="51">
        <f t="shared" si="5"/>
        <v>0</v>
      </c>
    </row>
    <row r="35" spans="1:9" ht="15" customHeight="1" x14ac:dyDescent="0.25">
      <c r="A35" s="71"/>
      <c r="B35" s="62"/>
      <c r="C35" s="62"/>
      <c r="D35" s="62"/>
      <c r="E35" s="62"/>
      <c r="F35" s="62"/>
      <c r="G35" s="63"/>
      <c r="H35" s="50">
        <f t="shared" si="4"/>
        <v>0</v>
      </c>
      <c r="I35" s="51">
        <f t="shared" si="5"/>
        <v>0</v>
      </c>
    </row>
    <row r="36" spans="1:9" ht="15" customHeight="1" x14ac:dyDescent="0.25">
      <c r="A36" s="64" t="s">
        <v>27</v>
      </c>
      <c r="B36" s="65">
        <f>SUM(B16:B35)</f>
        <v>98</v>
      </c>
      <c r="C36" s="65">
        <f t="shared" ref="C36:G36" si="8">SUM(C16:C35)</f>
        <v>0</v>
      </c>
      <c r="D36" s="65">
        <f t="shared" si="8"/>
        <v>0</v>
      </c>
      <c r="E36" s="65">
        <f t="shared" si="8"/>
        <v>0</v>
      </c>
      <c r="F36" s="65">
        <f t="shared" si="8"/>
        <v>0</v>
      </c>
      <c r="G36" s="66">
        <f t="shared" si="8"/>
        <v>0</v>
      </c>
      <c r="H36" s="52"/>
      <c r="I36" s="53"/>
    </row>
    <row r="37" spans="1:9" ht="15" customHeight="1" x14ac:dyDescent="0.25">
      <c r="A37" s="18" t="s">
        <v>28</v>
      </c>
      <c r="B37" s="18"/>
      <c r="C37" s="18"/>
      <c r="D37" s="18" t="s">
        <v>51</v>
      </c>
      <c r="E37" s="18" t="s">
        <v>29</v>
      </c>
      <c r="F37" s="18" t="s">
        <v>30</v>
      </c>
      <c r="G37" s="18" t="s">
        <v>26</v>
      </c>
      <c r="H37" s="18" t="s">
        <v>25</v>
      </c>
      <c r="I37" s="24"/>
    </row>
    <row r="38" spans="1:9" ht="15" customHeight="1" x14ac:dyDescent="0.25">
      <c r="A38" s="68" t="s">
        <v>49</v>
      </c>
      <c r="B38" s="39"/>
      <c r="C38" s="39"/>
      <c r="D38" s="92">
        <f>8*143</f>
        <v>1144</v>
      </c>
      <c r="E38" s="33" t="s">
        <v>50</v>
      </c>
      <c r="F38" s="33">
        <v>0.85</v>
      </c>
      <c r="G38" s="74">
        <f>F38*D38</f>
        <v>972.4</v>
      </c>
      <c r="H38" s="48">
        <f>G38*(1+$B$9)</f>
        <v>1166.8799999999999</v>
      </c>
      <c r="I38" s="54">
        <f>G38</f>
        <v>972.4</v>
      </c>
    </row>
    <row r="39" spans="1:9" ht="15" customHeight="1" x14ac:dyDescent="0.25">
      <c r="A39" s="70"/>
      <c r="B39" s="67"/>
      <c r="C39" s="67"/>
      <c r="D39" s="93"/>
      <c r="E39" s="11"/>
      <c r="F39" s="11"/>
      <c r="G39" s="75">
        <f t="shared" ref="G39:G49" si="9">F39*D39</f>
        <v>0</v>
      </c>
      <c r="H39" s="50">
        <f t="shared" ref="H39:H48" si="10">G39*(1+$B$9)</f>
        <v>0</v>
      </c>
      <c r="I39" s="59">
        <f t="shared" ref="I39:I48" si="11">G39</f>
        <v>0</v>
      </c>
    </row>
    <row r="40" spans="1:9" ht="15" customHeight="1" x14ac:dyDescent="0.25">
      <c r="A40" s="70"/>
      <c r="B40" s="67"/>
      <c r="C40" s="67"/>
      <c r="D40" s="93"/>
      <c r="E40" s="11"/>
      <c r="F40" s="11"/>
      <c r="G40" s="75">
        <f t="shared" si="9"/>
        <v>0</v>
      </c>
      <c r="H40" s="50">
        <f t="shared" si="10"/>
        <v>0</v>
      </c>
      <c r="I40" s="59">
        <f t="shared" si="11"/>
        <v>0</v>
      </c>
    </row>
    <row r="41" spans="1:9" ht="15" customHeight="1" x14ac:dyDescent="0.25">
      <c r="A41" s="70"/>
      <c r="B41" s="67"/>
      <c r="C41" s="67"/>
      <c r="D41" s="93"/>
      <c r="E41" s="11"/>
      <c r="F41" s="11"/>
      <c r="G41" s="75">
        <f t="shared" si="9"/>
        <v>0</v>
      </c>
      <c r="H41" s="50">
        <f t="shared" si="10"/>
        <v>0</v>
      </c>
      <c r="I41" s="59">
        <f t="shared" si="11"/>
        <v>0</v>
      </c>
    </row>
    <row r="42" spans="1:9" ht="15" customHeight="1" x14ac:dyDescent="0.25">
      <c r="A42" s="70"/>
      <c r="B42" s="67"/>
      <c r="C42" s="67"/>
      <c r="D42" s="93"/>
      <c r="E42" s="11"/>
      <c r="F42" s="11"/>
      <c r="G42" s="75">
        <f t="shared" si="9"/>
        <v>0</v>
      </c>
      <c r="H42" s="50">
        <f t="shared" si="10"/>
        <v>0</v>
      </c>
      <c r="I42" s="59">
        <f t="shared" si="11"/>
        <v>0</v>
      </c>
    </row>
    <row r="43" spans="1:9" ht="15" customHeight="1" x14ac:dyDescent="0.25">
      <c r="A43" s="70"/>
      <c r="B43" s="67"/>
      <c r="C43" s="67"/>
      <c r="D43" s="93"/>
      <c r="E43" s="11"/>
      <c r="F43" s="11"/>
      <c r="G43" s="75">
        <f t="shared" si="9"/>
        <v>0</v>
      </c>
      <c r="H43" s="50">
        <f t="shared" si="10"/>
        <v>0</v>
      </c>
      <c r="I43" s="59">
        <f t="shared" si="11"/>
        <v>0</v>
      </c>
    </row>
    <row r="44" spans="1:9" ht="15" customHeight="1" x14ac:dyDescent="0.25">
      <c r="A44" s="70"/>
      <c r="B44" s="67"/>
      <c r="C44" s="67"/>
      <c r="D44" s="93"/>
      <c r="E44" s="11"/>
      <c r="F44" s="11"/>
      <c r="G44" s="75">
        <f t="shared" si="9"/>
        <v>0</v>
      </c>
      <c r="H44" s="50">
        <f t="shared" si="10"/>
        <v>0</v>
      </c>
      <c r="I44" s="59">
        <f t="shared" si="11"/>
        <v>0</v>
      </c>
    </row>
    <row r="45" spans="1:9" ht="15" customHeight="1" x14ac:dyDescent="0.25">
      <c r="A45" s="70"/>
      <c r="B45" s="67"/>
      <c r="C45" s="67"/>
      <c r="D45" s="93"/>
      <c r="E45" s="11"/>
      <c r="F45" s="11"/>
      <c r="G45" s="75">
        <f t="shared" si="9"/>
        <v>0</v>
      </c>
      <c r="H45" s="50">
        <f t="shared" si="10"/>
        <v>0</v>
      </c>
      <c r="I45" s="59">
        <f t="shared" si="11"/>
        <v>0</v>
      </c>
    </row>
    <row r="46" spans="1:9" ht="15" customHeight="1" x14ac:dyDescent="0.25">
      <c r="A46" s="70"/>
      <c r="B46" s="67"/>
      <c r="C46" s="67"/>
      <c r="D46" s="93"/>
      <c r="E46" s="11"/>
      <c r="F46" s="11"/>
      <c r="G46" s="75">
        <f t="shared" si="9"/>
        <v>0</v>
      </c>
      <c r="H46" s="50">
        <f t="shared" si="10"/>
        <v>0</v>
      </c>
      <c r="I46" s="59">
        <f t="shared" si="11"/>
        <v>0</v>
      </c>
    </row>
    <row r="47" spans="1:9" ht="15" customHeight="1" x14ac:dyDescent="0.25">
      <c r="A47" s="70"/>
      <c r="B47" s="67"/>
      <c r="C47" s="67"/>
      <c r="D47" s="93"/>
      <c r="E47" s="11"/>
      <c r="F47" s="11"/>
      <c r="G47" s="75">
        <f t="shared" si="9"/>
        <v>0</v>
      </c>
      <c r="H47" s="50">
        <f t="shared" si="10"/>
        <v>0</v>
      </c>
      <c r="I47" s="59">
        <f t="shared" si="11"/>
        <v>0</v>
      </c>
    </row>
    <row r="48" spans="1:9" ht="15" customHeight="1" x14ac:dyDescent="0.25">
      <c r="A48" s="70"/>
      <c r="B48" s="67"/>
      <c r="C48" s="67"/>
      <c r="D48" s="93"/>
      <c r="E48" s="11"/>
      <c r="F48" s="11"/>
      <c r="G48" s="75">
        <f t="shared" si="9"/>
        <v>0</v>
      </c>
      <c r="H48" s="50">
        <f t="shared" si="10"/>
        <v>0</v>
      </c>
      <c r="I48" s="59">
        <f t="shared" si="11"/>
        <v>0</v>
      </c>
    </row>
    <row r="49" spans="1:9" ht="15" customHeight="1" x14ac:dyDescent="0.25">
      <c r="A49" s="72"/>
      <c r="B49" s="40"/>
      <c r="C49" s="40"/>
      <c r="D49" s="94"/>
      <c r="E49" s="38"/>
      <c r="F49" s="38"/>
      <c r="G49" s="76">
        <f t="shared" si="9"/>
        <v>0</v>
      </c>
      <c r="H49" s="52">
        <f>G49*(1+$B$9)</f>
        <v>0</v>
      </c>
      <c r="I49" s="55">
        <f>G49</f>
        <v>0</v>
      </c>
    </row>
    <row r="50" spans="1:9" ht="15" customHeight="1" x14ac:dyDescent="0.25">
      <c r="A50" s="17"/>
      <c r="B50" s="17"/>
      <c r="C50" s="17"/>
      <c r="D50" s="17"/>
      <c r="E50" s="17"/>
      <c r="F50" s="17"/>
      <c r="G50" s="17"/>
      <c r="H50" s="16">
        <f>SUM(H16:H49)</f>
        <v>36529.200000000004</v>
      </c>
      <c r="I50" s="25">
        <f>SUM(I16:I49)</f>
        <v>24547.280000000006</v>
      </c>
    </row>
  </sheetData>
  <mergeCells count="10">
    <mergeCell ref="H2:I2"/>
    <mergeCell ref="C8:D8"/>
    <mergeCell ref="C9:D9"/>
    <mergeCell ref="F9:G9"/>
    <mergeCell ref="F8:G8"/>
    <mergeCell ref="B1:G1"/>
    <mergeCell ref="B2:C2"/>
    <mergeCell ref="B3:C3"/>
    <mergeCell ref="B4:C4"/>
    <mergeCell ref="C7:D7"/>
  </mergeCells>
  <pageMargins left="0.7" right="0.7" top="0.75" bottom="0.75" header="0.3" footer="0.3"/>
  <pageSetup paperSize="9" scale="57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606DA5C789350418CD84B5D5AF6230F" ma:contentTypeVersion="15" ma:contentTypeDescription="Create a new document." ma:contentTypeScope="" ma:versionID="3fe1a27aa36d26129fae0339dcac522b">
  <xsd:schema xmlns:xsd="http://www.w3.org/2001/XMLSchema" xmlns:xs="http://www.w3.org/2001/XMLSchema" xmlns:p="http://schemas.microsoft.com/office/2006/metadata/properties" xmlns:ns2="aada7865-6c77-4081-af17-15a2f31d1b62" xmlns:ns3="d7a370a1-c51b-4df3-879a-86dbde6b5f43" targetNamespace="http://schemas.microsoft.com/office/2006/metadata/properties" ma:root="true" ma:fieldsID="a904d9ff2ca6342bfb044c41faed0cb2" ns2:_="" ns3:_="">
    <xsd:import namespace="aada7865-6c77-4081-af17-15a2f31d1b62"/>
    <xsd:import namespace="d7a370a1-c51b-4df3-879a-86dbde6b5f4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Location" minOccurs="0"/>
                <xsd:element ref="ns2:MediaLengthInSeconds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ada7865-6c77-4081-af17-15a2f31d1b6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31003a7b-7b56-4abd-8a56-92cfb8fbf83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a370a1-c51b-4df3-879a-86dbde6b5f43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df3d27b5-40a9-478d-a7ae-9162ddc3df50}" ma:internalName="TaxCatchAll" ma:showField="CatchAllData" ma:web="d7a370a1-c51b-4df3-879a-86dbde6b5f4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ada7865-6c77-4081-af17-15a2f31d1b62">
      <Terms xmlns="http://schemas.microsoft.com/office/infopath/2007/PartnerControls"/>
    </lcf76f155ced4ddcb4097134ff3c332f>
    <TaxCatchAll xmlns="d7a370a1-c51b-4df3-879a-86dbde6b5f43" xsi:nil="true"/>
  </documentManagement>
</p:properties>
</file>

<file path=customXml/itemProps1.xml><?xml version="1.0" encoding="utf-8"?>
<ds:datastoreItem xmlns:ds="http://schemas.openxmlformats.org/officeDocument/2006/customXml" ds:itemID="{38685CD6-4217-4348-81E0-99413877742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5E4530D-4043-47B1-BFA6-5CEFD14BF6DE}"/>
</file>

<file path=customXml/itemProps3.xml><?xml version="1.0" encoding="utf-8"?>
<ds:datastoreItem xmlns:ds="http://schemas.openxmlformats.org/officeDocument/2006/customXml" ds:itemID="{3B51A5E6-9AE6-4871-B129-83B893156D17}">
  <ds:schemaRefs>
    <ds:schemaRef ds:uri="http://schemas.microsoft.com/office/2006/metadata/properties"/>
    <ds:schemaRef ds:uri="http://schemas.microsoft.com/office/infopath/2007/PartnerControls"/>
    <ds:schemaRef ds:uri="851a02c8-69ba-42c0-8d00-968a6fa5c90f"/>
    <ds:schemaRef ds:uri="cfc5a213-793e-43c1-a81e-6a2585ba4a28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PM</vt:lpstr>
      <vt:lpstr>PM!Print_Area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Chris Adams</dc:creator>
  <cp:keywords/>
  <dc:description/>
  <cp:lastModifiedBy>Chris Adams</cp:lastModifiedBy>
  <cp:revision/>
  <dcterms:created xsi:type="dcterms:W3CDTF">2024-04-10T21:20:39Z</dcterms:created>
  <dcterms:modified xsi:type="dcterms:W3CDTF">2024-12-04T04:33:18Z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0x010100E606DA5C789350418CD84B5D5AF6230F</vt:lpwstr>
  </property>
  <property fmtid="{D5CDD505-2E9C-101B-9397-08002B2CF9AE}" pid="3" name="MediaServiceImageTags">
    <vt:lpwstr/>
  </property>
</Properties>
</file>