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Personal LinkedIn</t>
        </is>
      </c>
      <c r="D1" t="inlineStr">
        <is>
          <t>Email</t>
        </is>
      </c>
      <c r="E1" t="inlineStr">
        <is>
          <t>Job Title</t>
        </is>
      </c>
      <c r="F1" t="inlineStr">
        <is>
          <t>Person Apollo Link</t>
        </is>
      </c>
      <c r="G1" t="inlineStr">
        <is>
          <t>Company Name</t>
        </is>
      </c>
      <c r="H1" t="inlineStr">
        <is>
          <t>Company Apollo Link</t>
        </is>
      </c>
      <c r="I1" t="inlineStr">
        <is>
          <t>Company Website</t>
        </is>
      </c>
      <c r="J1" t="inlineStr">
        <is>
          <t>Company LinkedIn</t>
        </is>
      </c>
      <c r="K1" t="inlineStr">
        <is>
          <t>Company Twitter</t>
        </is>
      </c>
      <c r="L1" t="inlineStr">
        <is>
          <t>Company Facebook</t>
        </is>
      </c>
      <c r="M1" t="inlineStr">
        <is>
          <t>Location</t>
        </is>
      </c>
      <c r="N1" t="inlineStr">
        <is>
          <t>Employees</t>
        </is>
      </c>
      <c r="O1" t="inlineStr">
        <is>
          <t>Industry</t>
        </is>
      </c>
      <c r="P1" t="inlineStr">
        <is>
          <t>Keywords</t>
        </is>
      </c>
    </row>
    <row r="2">
      <c r="A2" t="inlineStr">
        <is>
          <t>6577bc5da3b9550198ec6855</t>
        </is>
      </c>
      <c r="B2" t="inlineStr">
        <is>
          <t>Claire Lewis</t>
        </is>
      </c>
      <c r="C2">
        <f>HYPERLINK("http://www.linkedin.com/in/claire-lewis-fcca-ba-hons-2728b142")</f>
        <v/>
      </c>
      <c r="D2" t="inlineStr">
        <is>
          <t>claire@built-id.com</t>
        </is>
      </c>
      <c r="E2" t="inlineStr">
        <is>
          <t>Chief Financial Officer</t>
        </is>
      </c>
      <c r="F2">
        <f>HYPERLINK("https://app.apollo.io/#/contacts/6577bc5da3b9550198ec6855")</f>
        <v/>
      </c>
      <c r="G2" t="inlineStr">
        <is>
          <t>Built-ID</t>
        </is>
      </c>
      <c r="H2">
        <f>HYPERLINK("https://app.apollo.io/#/accounts/6577bc5da3b9550198ec6857")</f>
        <v/>
      </c>
      <c r="I2">
        <f>HYPERLINK("http://www.built-id.com/")</f>
        <v/>
      </c>
      <c r="J2">
        <f>HYPERLINK("http://www.linkedin.com/company/built-id")</f>
        <v/>
      </c>
      <c r="K2">
        <f>HYPERLINK("https://twitter.com/Built_ID")</f>
        <v/>
      </c>
      <c r="L2">
        <f>HYPERLINK("Not Found")</f>
        <v/>
      </c>
      <c r="M2" t="inlineStr">
        <is>
          <t>Gloucester, United Kingdom</t>
        </is>
      </c>
      <c r="N2" t="inlineStr">
        <is>
          <t>11</t>
        </is>
      </c>
      <c r="O2" t="inlineStr">
        <is>
          <t>Commercial Real Estate</t>
        </is>
      </c>
      <c r="P2" t="inlineStr">
        <is>
          <t>commercial real estate,commercial real estate</t>
        </is>
      </c>
    </row>
    <row r="3">
      <c r="A3" t="inlineStr">
        <is>
          <t>6577bc4fa3b9550114ec695a</t>
        </is>
      </c>
      <c r="B3" t="inlineStr">
        <is>
          <t>Joel Outmezguine</t>
        </is>
      </c>
      <c r="C3">
        <f>HYPERLINK("http://www.linkedin.com/in/joel-outmezguine-8b31571")</f>
        <v/>
      </c>
      <c r="D3" t="inlineStr">
        <is>
          <t>joel@whitecityib.com</t>
        </is>
      </c>
      <c r="E3" t="inlineStr">
        <is>
          <t>Chief Financial Officer</t>
        </is>
      </c>
      <c r="F3">
        <f>HYPERLINK("https://app.apollo.io/#/contacts/6577bc4fa3b9550114ec695a")</f>
        <v/>
      </c>
      <c r="G3" t="inlineStr">
        <is>
          <t>WhiteCity Investments</t>
        </is>
      </c>
      <c r="H3">
        <f>HYPERLINK("https://app.apollo.io/#/accounts/6577bc4fa3b9550114ec695c")</f>
        <v/>
      </c>
      <c r="I3">
        <f>HYPERLINK("http://www.whitecityib.com/")</f>
        <v/>
      </c>
      <c r="J3">
        <f>HYPERLINK("http://www.linkedin.com/company/whitecity-investments")</f>
        <v/>
      </c>
      <c r="K3">
        <f>HYPERLINK("Not Found")</f>
        <v/>
      </c>
      <c r="L3">
        <f>HYPERLINK("https://www.facebook.com/whitecityibIsrael")</f>
        <v/>
      </c>
      <c r="M3" t="inlineStr">
        <is>
          <t>West End, United Kingdom</t>
        </is>
      </c>
      <c r="N3" t="inlineStr">
        <is>
          <t>6</t>
        </is>
      </c>
      <c r="O3" t="inlineStr">
        <is>
          <t>Commercial Real Estate</t>
        </is>
      </c>
      <c r="P3" t="inlineStr">
        <is>
          <t>equity investments,equity investments,residential real estate,residential real estate</t>
        </is>
      </c>
    </row>
    <row r="4">
      <c r="A4" t="inlineStr">
        <is>
          <t>6577bc57a3b9550198ec6837</t>
        </is>
      </c>
      <c r="B4" t="inlineStr">
        <is>
          <t>Paul Aitchison</t>
        </is>
      </c>
      <c r="C4">
        <f>HYPERLINK("http://www.linkedin.com/in/paul-aitchison-623b9713a")</f>
        <v/>
      </c>
      <c r="D4" t="inlineStr">
        <is>
          <t>paitchison@lrg.co.uk</t>
        </is>
      </c>
      <c r="E4" t="inlineStr">
        <is>
          <t>Chief Financial Officer</t>
        </is>
      </c>
      <c r="F4">
        <f>HYPERLINK("https://app.apollo.io/#/contacts/6577bc57a3b9550198ec6837")</f>
        <v/>
      </c>
      <c r="G4" t="inlineStr">
        <is>
          <t>Leaders Romans Group</t>
        </is>
      </c>
      <c r="H4">
        <f>HYPERLINK("https://app.apollo.io/#/accounts/6577bc57a3b9550198ec6839")</f>
        <v/>
      </c>
      <c r="I4">
        <f>HYPERLINK("http://www.lrg.co.uk/")</f>
        <v/>
      </c>
      <c r="J4">
        <f>HYPERLINK("http://www.linkedin.com/company/leaders-romans-group")</f>
        <v/>
      </c>
      <c r="K4">
        <f>HYPERLINK("Not Found")</f>
        <v/>
      </c>
      <c r="L4">
        <f>HYPERLINK("Not Found")</f>
        <v/>
      </c>
      <c r="M4" t="inlineStr">
        <is>
          <t>Weybridge, United Kingdom</t>
        </is>
      </c>
      <c r="N4" t="inlineStr">
        <is>
          <t>2,600</t>
        </is>
      </c>
      <c r="O4" t="inlineStr">
        <is>
          <t>Commercial Real Estate</t>
        </is>
      </c>
      <c r="P4" t="inlineStr">
        <is>
          <t>estate agency,estate agency,lettings,lettings</t>
        </is>
      </c>
    </row>
    <row r="5">
      <c r="A5" t="inlineStr">
        <is>
          <t>6577bc53a3b95505c3ec66f5</t>
        </is>
      </c>
      <c r="B5" t="inlineStr">
        <is>
          <t>Craig N.</t>
        </is>
      </c>
      <c r="C5">
        <f>HYPERLINK("http://www.linkedin.com/in/craignunn")</f>
        <v/>
      </c>
      <c r="D5" t="inlineStr">
        <is>
          <t>cnunn@landmarkspace.co.uk</t>
        </is>
      </c>
      <c r="E5" t="inlineStr">
        <is>
          <t>Chief Financial Officer</t>
        </is>
      </c>
      <c r="F5">
        <f>HYPERLINK("https://app.apollo.io/#/contacts/6577bc53a3b95505c3ec66f5")</f>
        <v/>
      </c>
      <c r="G5" t="inlineStr">
        <is>
          <t>Landmark</t>
        </is>
      </c>
      <c r="H5">
        <f>HYPERLINK("https://app.apollo.io/#/accounts/6577bc53a3b95505c3ec66f7")</f>
        <v/>
      </c>
      <c r="I5">
        <f>HYPERLINK("http://www.landmarkspace.co.uk/")</f>
        <v/>
      </c>
      <c r="J5">
        <f>HYPERLINK("http://www.linkedin.com/company/landmarkspace")</f>
        <v/>
      </c>
      <c r="K5">
        <f>HYPERLINK("https://twitter.com/landmark_space")</f>
        <v/>
      </c>
      <c r="L5">
        <f>HYPERLINK("https://www.facebook.com/landmarkspace")</f>
        <v/>
      </c>
      <c r="M5" t="inlineStr">
        <is>
          <t>London, United Kingdom</t>
        </is>
      </c>
      <c r="N5" t="inlineStr">
        <is>
          <t>460</t>
        </is>
      </c>
      <c r="O5" t="inlineStr">
        <is>
          <t>Commercial Real Estate</t>
        </is>
      </c>
      <c r="P5" t="inlineStr">
        <is>
          <t>virtual office,virtual office,meeting rooms,meeting rooms</t>
        </is>
      </c>
    </row>
    <row r="6">
      <c r="A6" t="inlineStr">
        <is>
          <t>6577bc4da3b9550198ec6815</t>
        </is>
      </c>
      <c r="B6" t="inlineStr">
        <is>
          <t>Mark Colclough</t>
        </is>
      </c>
      <c r="C6">
        <f>HYPERLINK("http://www.linkedin.com/in/mark-colclough-893b11141")</f>
        <v/>
      </c>
      <c r="D6" t="inlineStr">
        <is>
          <t>mark.colclough@colliers.com</t>
        </is>
      </c>
      <c r="E6" t="inlineStr">
        <is>
          <t>Chief Financial Officer</t>
        </is>
      </c>
      <c r="F6">
        <f>HYPERLINK("https://app.apollo.io/#/contacts/6577bc4da3b9550198ec6815")</f>
        <v/>
      </c>
      <c r="G6" t="inlineStr">
        <is>
          <t>Colliers</t>
        </is>
      </c>
      <c r="H6">
        <f>HYPERLINK("https://app.apollo.io/#/accounts/6577bc4da3b9550198ec6817")</f>
        <v/>
      </c>
      <c r="I6">
        <f>HYPERLINK("http://www.colliers.com/")</f>
        <v/>
      </c>
      <c r="J6">
        <f>HYPERLINK("http://www.linkedin.com/company/colliers")</f>
        <v/>
      </c>
      <c r="K6">
        <f>HYPERLINK("https://twitter.com/Colliers")</f>
        <v/>
      </c>
      <c r="L6">
        <f>HYPERLINK("https://facebook.com/colliersinternational/")</f>
        <v/>
      </c>
      <c r="M6" t="inlineStr">
        <is>
          <t>Witney, United Kingdom</t>
        </is>
      </c>
      <c r="N6" t="inlineStr">
        <is>
          <t>25,000</t>
        </is>
      </c>
      <c r="O6" t="inlineStr">
        <is>
          <t>Commercial Real Estate</t>
        </is>
      </c>
      <c r="P6" t="inlineStr">
        <is>
          <t>brokerage &amp; agency,brokerage &amp; agency</t>
        </is>
      </c>
    </row>
    <row r="7">
      <c r="A7" t="inlineStr">
        <is>
          <t>6577bc5aa3b9550198ec6846</t>
        </is>
      </c>
      <c r="B7" t="inlineStr">
        <is>
          <t>Kate Green</t>
        </is>
      </c>
      <c r="C7">
        <f>HYPERLINK("http://www.linkedin.com/in/kate-green-5391b824")</f>
        <v/>
      </c>
      <c r="D7" t="inlineStr">
        <is>
          <t>kgreen@gpl-hire.co.uk</t>
        </is>
      </c>
      <c r="E7" t="inlineStr">
        <is>
          <t>Chief Financial Officer</t>
        </is>
      </c>
      <c r="F7">
        <f>HYPERLINK("https://app.apollo.io/#/contacts/6577bc5aa3b9550198ec6846")</f>
        <v/>
      </c>
      <c r="G7" t="inlineStr">
        <is>
          <t>Go Plant Fleet Services Ltd</t>
        </is>
      </c>
      <c r="H7">
        <f>HYPERLINK("https://app.apollo.io/#/accounts/6577bc5aa3b9550198ec6848")</f>
        <v/>
      </c>
      <c r="I7">
        <f>HYPERLINK("http://www.go-plant.co.uk/")</f>
        <v/>
      </c>
      <c r="J7">
        <f>HYPERLINK("http://www.linkedin.com/company/go-plant-fleet-services-ltd")</f>
        <v/>
      </c>
      <c r="K7">
        <f>HYPERLINK("Not Found")</f>
        <v/>
      </c>
      <c r="L7">
        <f>HYPERLINK("https://www.facebook.com/GoPlantFleetServices/")</f>
        <v/>
      </c>
      <c r="M7" t="inlineStr">
        <is>
          <t>England, United Kingdom</t>
        </is>
      </c>
      <c r="N7" t="inlineStr">
        <is>
          <t>220</t>
        </is>
      </c>
      <c r="O7" t="inlineStr">
        <is>
          <t>Commercial Real Estate</t>
        </is>
      </c>
      <c r="P7" t="inlineStr">
        <is>
          <t>fleet management &amp; maintenance,fleet management &amp; maintenance</t>
        </is>
      </c>
    </row>
    <row r="8">
      <c r="A8" t="inlineStr">
        <is>
          <t>6577bb0a9683330114f9100f</t>
        </is>
      </c>
      <c r="B8" t="inlineStr">
        <is>
          <t>Vanessa Simms</t>
        </is>
      </c>
      <c r="C8">
        <f>HYPERLINK("http://www.linkedin.com/in/vanessa-simms-6009138")</f>
        <v/>
      </c>
      <c r="D8" t="inlineStr">
        <is>
          <t>vanessa.simms@landsec.com</t>
        </is>
      </c>
      <c r="E8" t="inlineStr">
        <is>
          <t>Chief Financial Officer</t>
        </is>
      </c>
      <c r="F8">
        <f>HYPERLINK("https://app.apollo.io/#/contacts/6577bb0a9683330114f9100f")</f>
        <v/>
      </c>
      <c r="G8" t="inlineStr">
        <is>
          <t>Landsec</t>
        </is>
      </c>
      <c r="H8">
        <f>HYPERLINK("https://app.apollo.io/#/accounts/6577bb0a9683330114f91011")</f>
        <v/>
      </c>
      <c r="I8">
        <f>HYPERLINK("http://www.landsec.com/")</f>
        <v/>
      </c>
      <c r="J8">
        <f>HYPERLINK("http://www.linkedin.com/company/landsec")</f>
        <v/>
      </c>
      <c r="K8">
        <f>HYPERLINK("https://twitter.com/landsecgroup?lang=en")</f>
        <v/>
      </c>
      <c r="L8">
        <f>HYPERLINK("https://facebook.com/pages/category/Real-Estate-Company/Landsec-Group-335042077050643/")</f>
        <v/>
      </c>
      <c r="M8" t="inlineStr">
        <is>
          <t>Guildford, United Kingdom</t>
        </is>
      </c>
      <c r="N8" t="inlineStr">
        <is>
          <t>860</t>
        </is>
      </c>
      <c r="O8" t="inlineStr">
        <is>
          <t>Commercial Real Estate</t>
        </is>
      </c>
      <c r="P8" t="inlineStr">
        <is>
          <t>property investment,property investment</t>
        </is>
      </c>
    </row>
    <row r="9">
      <c r="A9" t="inlineStr">
        <is>
          <t>6577bc55a3b9550114ec6973</t>
        </is>
      </c>
      <c r="B9" t="inlineStr">
        <is>
          <t>Kay Sangha</t>
        </is>
      </c>
      <c r="C9">
        <f>HYPERLINK("http://www.linkedin.com/in/kay-sangha-6193722")</f>
        <v/>
      </c>
      <c r="D9" t="inlineStr">
        <is>
          <t>ks@harnessdata.ai</t>
        </is>
      </c>
      <c r="E9" t="inlineStr">
        <is>
          <t>Chief Financial Officer</t>
        </is>
      </c>
      <c r="F9">
        <f>HYPERLINK("https://app.apollo.io/#/contacts/6577bc55a3b9550114ec6973")</f>
        <v/>
      </c>
      <c r="G9" t="inlineStr">
        <is>
          <t>HARNESS Data Intelligence</t>
        </is>
      </c>
      <c r="H9">
        <f>HYPERLINK("https://app.apollo.io/#/accounts/6577bc55a3b9550114ec6975")</f>
        <v/>
      </c>
      <c r="I9">
        <f>HYPERLINK("http://www.harnessdata.ai/")</f>
        <v/>
      </c>
      <c r="J9">
        <f>HYPERLINK("http://www.linkedin.com/company/harnessdata")</f>
        <v/>
      </c>
      <c r="K9">
        <f>HYPERLINK("https://twitter.com/harnessdata")</f>
        <v/>
      </c>
      <c r="L9">
        <f>HYPERLINK("https://www.facebook.com/harnessdata")</f>
        <v/>
      </c>
      <c r="M9" t="inlineStr">
        <is>
          <t>United Kingdom</t>
        </is>
      </c>
      <c r="N9" t="inlineStr">
        <is>
          <t>9</t>
        </is>
      </c>
      <c r="O9" t="inlineStr">
        <is>
          <t>Commercial Real Estate</t>
        </is>
      </c>
      <c r="P9" t="inlineStr">
        <is>
          <t>commercial property,commercial property</t>
        </is>
      </c>
    </row>
    <row r="10">
      <c r="A10" t="inlineStr">
        <is>
          <t>6577bc5fa3b9550114ec69b5</t>
        </is>
      </c>
      <c r="B10" t="inlineStr">
        <is>
          <t>Rene Fourie</t>
        </is>
      </c>
      <c r="C10">
        <f>HYPERLINK("http://www.linkedin.com/in/rene-fourie-50081486")</f>
        <v/>
      </c>
      <c r="D10" t="inlineStr">
        <is>
          <t>rene@dukelease.com</t>
        </is>
      </c>
      <c r="E10" t="inlineStr">
        <is>
          <t>Head of Sales and Marketing</t>
        </is>
      </c>
      <c r="F10">
        <f>HYPERLINK("https://app.apollo.io/#/contacts/6577bc5fa3b9550114ec69b5")</f>
        <v/>
      </c>
      <c r="G10" t="inlineStr">
        <is>
          <t>Dukelease Properties</t>
        </is>
      </c>
      <c r="H10">
        <f>HYPERLINK("https://app.apollo.io/#/accounts/6577bc5fa3b9550114ec69b7")</f>
        <v/>
      </c>
      <c r="I10">
        <f>HYPERLINK("http://www.dukelease.com/")</f>
        <v/>
      </c>
      <c r="J10">
        <f>HYPERLINK("http://www.linkedin.com/company/dukeleaseproperties")</f>
        <v/>
      </c>
      <c r="K10">
        <f>HYPERLINK("Not Found")</f>
        <v/>
      </c>
      <c r="L10">
        <f>HYPERLINK("Not Found")</f>
        <v/>
      </c>
      <c r="M10" t="inlineStr">
        <is>
          <t>London, United Kingdom</t>
        </is>
      </c>
      <c r="N10" t="inlineStr">
        <is>
          <t>12</t>
        </is>
      </c>
      <c r="O10" t="inlineStr">
        <is>
          <t>Commercial Real Estate</t>
        </is>
      </c>
      <c r="P10" t="inlineStr">
        <is>
          <t>commercial real estate,commercial real estate</t>
        </is>
      </c>
    </row>
    <row r="11">
      <c r="A11" t="inlineStr">
        <is>
          <t>6577bc63a3b9550536ec6705</t>
        </is>
      </c>
      <c r="B11" t="inlineStr">
        <is>
          <t>Faisal Mirza</t>
        </is>
      </c>
      <c r="C11">
        <f>HYPERLINK("http://www.linkedin.com/in/faisalmirza75")</f>
        <v/>
      </c>
      <c r="D11" t="inlineStr">
        <is>
          <t>f.mirza@marinaenclave.pk</t>
        </is>
      </c>
      <c r="E11" t="inlineStr">
        <is>
          <t>Head of Marketing and Sales</t>
        </is>
      </c>
      <c r="F11">
        <f>HYPERLINK("https://app.apollo.io/#/contacts/6577bc63a3b9550536ec6705")</f>
        <v/>
      </c>
      <c r="G11" t="inlineStr">
        <is>
          <t>Marina Enclave, Gwadar</t>
        </is>
      </c>
      <c r="H11">
        <f>HYPERLINK("https://app.apollo.io/#/accounts/6577bc63a3b9550536ec6707")</f>
        <v/>
      </c>
      <c r="I11">
        <f>HYPERLINK("http://www.marinaenclave.pk/")</f>
        <v/>
      </c>
      <c r="J11">
        <f>HYPERLINK("http://www.linkedin.com/company/marina-enclave-gwadar")</f>
        <v/>
      </c>
      <c r="K11">
        <f>HYPERLINK("https://twitter.com/GwadarMarina")</f>
        <v/>
      </c>
      <c r="L11">
        <f>HYPERLINK("https://www.facebook.com/Marina-Enclave-Gwadar-585393725296085/")</f>
        <v/>
      </c>
      <c r="M11" t="inlineStr">
        <is>
          <t>United Kingdom</t>
        </is>
      </c>
      <c r="N11" t="inlineStr">
        <is>
          <t>3</t>
        </is>
      </c>
      <c r="O11" t="inlineStr">
        <is>
          <t>Commercial Real Estate</t>
        </is>
      </c>
    </row>
    <row r="12">
      <c r="A12" t="inlineStr">
        <is>
          <t>6577eaeaba5cf5019a662106</t>
        </is>
      </c>
      <c r="B12" t="inlineStr">
        <is>
          <t>Peter Kavanagh</t>
        </is>
      </c>
      <c r="C12">
        <f>HYPERLINK("http://www.linkedin.com/in/peter-kavanagh-b5a23414")</f>
        <v/>
      </c>
      <c r="D12" t="inlineStr">
        <is>
          <t>pkavanagh@lrg.co.uk</t>
        </is>
      </c>
      <c r="E12" t="inlineStr">
        <is>
          <t>Chief Executive Officer</t>
        </is>
      </c>
      <c r="F12">
        <f>HYPERLINK("https://app.apollo.io/#/contacts/6577eaeaba5cf5019a662106")</f>
        <v/>
      </c>
      <c r="G12" t="inlineStr">
        <is>
          <t>Leaders Romans Group</t>
        </is>
      </c>
      <c r="H12">
        <f>HYPERLINK("https://app.apollo.io/#/accounts/6577bc57a3b9550198ec6839")</f>
        <v/>
      </c>
      <c r="I12">
        <f>HYPERLINK("http://www.lrg.co.uk/")</f>
        <v/>
      </c>
      <c r="J12">
        <f>HYPERLINK("http://www.linkedin.com/company/leaders-romans-group")</f>
        <v/>
      </c>
      <c r="K12">
        <f>HYPERLINK("Not Found")</f>
        <v/>
      </c>
      <c r="L12">
        <f>HYPERLINK("Not Found")</f>
        <v/>
      </c>
      <c r="M12" t="inlineStr">
        <is>
          <t>Reading, United Kingdom</t>
        </is>
      </c>
      <c r="N12" t="inlineStr">
        <is>
          <t>2,600</t>
        </is>
      </c>
      <c r="O12" t="inlineStr">
        <is>
          <t>Commercial Real Estate</t>
        </is>
      </c>
      <c r="P12" t="inlineStr">
        <is>
          <t>estate agency,estate agency,lettings,lettings</t>
        </is>
      </c>
    </row>
    <row r="13">
      <c r="A13" t="inlineStr">
        <is>
          <t>6577c4b18d09d50114815e0b</t>
        </is>
      </c>
      <c r="B13" t="inlineStr">
        <is>
          <t>Steve Rad</t>
        </is>
      </c>
      <c r="C13">
        <f>HYPERLINK("http://www.linkedin.com/in/steverad")</f>
        <v/>
      </c>
      <c r="D13" t="inlineStr">
        <is>
          <t>steve@propertyinspect.com</t>
        </is>
      </c>
      <c r="E13" t="inlineStr">
        <is>
          <t>CEO</t>
        </is>
      </c>
      <c r="F13">
        <f>HYPERLINK("https://app.apollo.io/#/contacts/6577c4b18d09d50114815e0b")</f>
        <v/>
      </c>
      <c r="G13" t="inlineStr">
        <is>
          <t>Property Inspect</t>
        </is>
      </c>
      <c r="H13">
        <f>HYPERLINK("https://app.apollo.io/#/accounts/6577c4b18d09d50114815e0d")</f>
        <v/>
      </c>
      <c r="I13">
        <f>HYPERLINK("http://www.propertyinspect.com/")</f>
        <v/>
      </c>
      <c r="J13">
        <f>HYPERLINK("http://www.linkedin.com/company/property-inspect")</f>
        <v/>
      </c>
      <c r="K13">
        <f>HYPERLINK("https://twitter.com/inspectapp")</f>
        <v/>
      </c>
      <c r="L13">
        <f>HYPERLINK("https://facebook.com/propertyinspect")</f>
        <v/>
      </c>
      <c r="M13" t="inlineStr">
        <is>
          <t>Portsmouth, United Kingdom</t>
        </is>
      </c>
      <c r="N13" t="inlineStr">
        <is>
          <t>17</t>
        </is>
      </c>
      <c r="O13" t="inlineStr">
        <is>
          <t>Commercial Real Estate</t>
        </is>
      </c>
      <c r="P13" t="inlineStr">
        <is>
          <t>property inspection app,property inspection app</t>
        </is>
      </c>
    </row>
    <row r="14">
      <c r="A14" t="inlineStr">
        <is>
          <t>6577eb17ba5cf5011466c47c</t>
        </is>
      </c>
      <c r="B14" t="inlineStr">
        <is>
          <t>Beth Peters</t>
        </is>
      </c>
      <c r="C14">
        <f>HYPERLINK("http://www.linkedin.com/in/beth-peters-a514a44")</f>
        <v/>
      </c>
      <c r="D14" t="inlineStr">
        <is>
          <t>beth@alliancetoolhire.com</t>
        </is>
      </c>
      <c r="E14" t="inlineStr">
        <is>
          <t>Chief Executive Officer</t>
        </is>
      </c>
      <c r="F14">
        <f>HYPERLINK("https://app.apollo.io/#/contacts/6577eb17ba5cf5011466c47c")</f>
        <v/>
      </c>
      <c r="G14" t="inlineStr">
        <is>
          <t>Alliance Tool Hire</t>
        </is>
      </c>
      <c r="H14">
        <f>HYPERLINK("https://app.apollo.io/#/accounts/6577eb17ba5cf5011466c47e")</f>
        <v/>
      </c>
      <c r="I14">
        <f>HYPERLINK("http://www.alliancetoolhire.com/")</f>
        <v/>
      </c>
      <c r="J14">
        <f>HYPERLINK("http://www.linkedin.com/company/alliance-tool-hire")</f>
        <v/>
      </c>
      <c r="K14">
        <f>HYPERLINK("Not Found")</f>
        <v/>
      </c>
      <c r="L14">
        <f>HYPERLINK("Not Found")</f>
        <v/>
      </c>
      <c r="M14" t="inlineStr">
        <is>
          <t>United Kingdom</t>
        </is>
      </c>
      <c r="N14" t="inlineStr">
        <is>
          <t>28</t>
        </is>
      </c>
      <c r="O14" t="inlineStr">
        <is>
          <t>Commercial Real Estate</t>
        </is>
      </c>
      <c r="P14" t="inlineStr">
        <is>
          <t>plumbing &amp; pipework,plumbing &amp; pipework</t>
        </is>
      </c>
    </row>
    <row r="15">
      <c r="A15" t="inlineStr">
        <is>
          <t>6577eaf7ba5cf5011466c310</t>
        </is>
      </c>
      <c r="B15" t="inlineStr">
        <is>
          <t>Chen Moravsky</t>
        </is>
      </c>
      <c r="C15">
        <f>HYPERLINK("http://www.linkedin.com/in/chen-moravsky")</f>
        <v/>
      </c>
      <c r="D15" t="inlineStr">
        <is>
          <t>chen@yellowtree.com</t>
        </is>
      </c>
      <c r="E15" t="inlineStr">
        <is>
          <t>Chief Executive Officer</t>
        </is>
      </c>
      <c r="F15">
        <f>HYPERLINK("https://app.apollo.io/#/contacts/6577eaf7ba5cf5011466c310")</f>
        <v/>
      </c>
      <c r="G15" t="inlineStr">
        <is>
          <t>Yellow Tree Group | Real Estate</t>
        </is>
      </c>
      <c r="H15">
        <f>HYPERLINK("https://app.apollo.io/#/accounts/6577eaf7ba5cf5011466c312")</f>
        <v/>
      </c>
      <c r="I15">
        <f>HYPERLINK("http://www.yellowtree.com/")</f>
        <v/>
      </c>
      <c r="J15">
        <f>HYPERLINK("http://www.linkedin.com/company/yellow-tree-group-real-estate")</f>
        <v/>
      </c>
      <c r="K15">
        <f>HYPERLINK("Not Found")</f>
        <v/>
      </c>
      <c r="L15">
        <f>HYPERLINK("Not Found")</f>
        <v/>
      </c>
      <c r="M15" t="inlineStr">
        <is>
          <t>United Kingdom</t>
        </is>
      </c>
      <c r="N15" t="inlineStr">
        <is>
          <t>23</t>
        </is>
      </c>
      <c r="O15" t="inlineStr">
        <is>
          <t>Commercial Real Estate</t>
        </is>
      </c>
      <c r="P15" t="inlineStr">
        <is>
          <t>commercial real estate,commercial real estate</t>
        </is>
      </c>
    </row>
    <row r="16">
      <c r="A16" t="inlineStr">
        <is>
          <t>6577d5c3fbb14b01136c52c8</t>
        </is>
      </c>
      <c r="B16" t="inlineStr">
        <is>
          <t>Iliya Blazic</t>
        </is>
      </c>
      <c r="C16">
        <f>HYPERLINK("http://www.linkedin.com/in/iliya-blazic-03917326")</f>
        <v/>
      </c>
      <c r="D16" t="inlineStr">
        <is>
          <t>iliya.blazic@goodstoneliving.com</t>
        </is>
      </c>
      <c r="E16" t="inlineStr">
        <is>
          <t>Chief Executive Officer</t>
        </is>
      </c>
      <c r="F16">
        <f>HYPERLINK("https://app.apollo.io/#/contacts/6577d5c3fbb14b01136c52c8")</f>
        <v/>
      </c>
      <c r="G16" t="inlineStr">
        <is>
          <t>Goodstone Living</t>
        </is>
      </c>
      <c r="H16">
        <f>HYPERLINK("https://app.apollo.io/#/accounts/6577d5c3fbb14b01136c52ca")</f>
        <v/>
      </c>
      <c r="I16">
        <f>HYPERLINK("http://www.goodstoneliving.com/")</f>
        <v/>
      </c>
      <c r="J16">
        <f>HYPERLINK("http://www.linkedin.com/company/goodstone-living")</f>
        <v/>
      </c>
      <c r="K16">
        <f>HYPERLINK("https://twitter.com/GoodstoneLiving")</f>
        <v/>
      </c>
      <c r="L16">
        <f>HYPERLINK("Not Found")</f>
        <v/>
      </c>
      <c r="M16" t="inlineStr">
        <is>
          <t>London, United Kingdom</t>
        </is>
      </c>
      <c r="N16" t="inlineStr">
        <is>
          <t>17</t>
        </is>
      </c>
      <c r="O16" t="inlineStr">
        <is>
          <t>Commercial Real Estate</t>
        </is>
      </c>
    </row>
    <row r="17">
      <c r="A17" t="inlineStr">
        <is>
          <t>6577c4bf8d09d50114815e61</t>
        </is>
      </c>
      <c r="B17" t="inlineStr">
        <is>
          <t>Greig Coull</t>
        </is>
      </c>
      <c r="C17">
        <f>HYPERLINK("http://www.linkedin.com/in/greig-coull-b7951016a")</f>
        <v/>
      </c>
      <c r="D17" t="inlineStr">
        <is>
          <t>greig.coull@msipdundee.com</t>
        </is>
      </c>
      <c r="E17" t="inlineStr">
        <is>
          <t>Chief Executive Officer</t>
        </is>
      </c>
      <c r="F17">
        <f>HYPERLINK("https://app.apollo.io/#/contacts/6577c4bf8d09d50114815e61")</f>
        <v/>
      </c>
      <c r="G17" t="inlineStr">
        <is>
          <t>Michelin Scotland Innovation Parc</t>
        </is>
      </c>
      <c r="H17">
        <f>HYPERLINK("https://app.apollo.io/#/accounts/6577c4bf8d09d50114815e62")</f>
        <v/>
      </c>
      <c r="I17">
        <f>HYPERLINK("http://www.msipdundee.com/")</f>
        <v/>
      </c>
      <c r="J17">
        <f>HYPERLINK("http://www.linkedin.com/company/michelin-scotland-innovation-parc")</f>
        <v/>
      </c>
      <c r="K17">
        <f>HYPERLINK("Not Found")</f>
        <v/>
      </c>
      <c r="L17">
        <f>HYPERLINK("Not Found")</f>
        <v/>
      </c>
      <c r="M17" t="inlineStr">
        <is>
          <t>Dundee, United Kingdom</t>
        </is>
      </c>
      <c r="N17" t="inlineStr">
        <is>
          <t>15</t>
        </is>
      </c>
      <c r="O17" t="inlineStr">
        <is>
          <t>Commercial Real Estate</t>
        </is>
      </c>
    </row>
    <row r="18">
      <c r="A18" t="inlineStr">
        <is>
          <t>6577eb03ba5cf5011466c3de</t>
        </is>
      </c>
      <c r="B18" t="inlineStr">
        <is>
          <t>Ed</t>
        </is>
      </c>
      <c r="C18">
        <f>HYPERLINK("http://www.linkedin.com/in/ed-c-7489884")</f>
        <v/>
      </c>
      <c r="D18" t="inlineStr">
        <is>
          <t>ecowell@landmarkspace.co.uk</t>
        </is>
      </c>
      <c r="E18" t="inlineStr">
        <is>
          <t>Chief Executive Officer</t>
        </is>
      </c>
      <c r="F18">
        <f>HYPERLINK("https://app.apollo.io/#/contacts/6577eb03ba5cf5011466c3de")</f>
        <v/>
      </c>
      <c r="G18" t="inlineStr">
        <is>
          <t>Landmark</t>
        </is>
      </c>
      <c r="H18">
        <f>HYPERLINK("https://app.apollo.io/#/accounts/6577bc53a3b95505c3ec66f7")</f>
        <v/>
      </c>
      <c r="I18">
        <f>HYPERLINK("http://www.landmarkspace.co.uk/")</f>
        <v/>
      </c>
      <c r="J18">
        <f>HYPERLINK("http://www.linkedin.com/company/landmarkspace")</f>
        <v/>
      </c>
      <c r="K18">
        <f>HYPERLINK("https://twitter.com/landmark_space")</f>
        <v/>
      </c>
      <c r="L18">
        <f>HYPERLINK("https://www.facebook.com/landmarkspace")</f>
        <v/>
      </c>
      <c r="M18" t="inlineStr">
        <is>
          <t>Chipping Norton, United Kingdom</t>
        </is>
      </c>
      <c r="N18" t="inlineStr">
        <is>
          <t>460</t>
        </is>
      </c>
      <c r="O18" t="inlineStr">
        <is>
          <t>Commercial Real Estate</t>
        </is>
      </c>
      <c r="P18" t="inlineStr">
        <is>
          <t>virtual office,virtual office,meeting rooms,meeting rooms</t>
        </is>
      </c>
    </row>
    <row r="19">
      <c r="A19" t="inlineStr">
        <is>
          <t>6577eb09ba5cf5011466c408</t>
        </is>
      </c>
      <c r="B19" t="inlineStr">
        <is>
          <t>Jonathan Bevan</t>
        </is>
      </c>
      <c r="C19">
        <f>HYPERLINK("http://www.linkedin.com/in/jonathanbevan")</f>
        <v/>
      </c>
      <c r="D19" t="inlineStr">
        <is>
          <t>jonathan.bevan@techspace.co</t>
        </is>
      </c>
      <c r="E19" t="inlineStr">
        <is>
          <t>Chief Executive Officer</t>
        </is>
      </c>
      <c r="F19">
        <f>HYPERLINK("https://app.apollo.io/#/contacts/6577eb09ba5cf5011466c408")</f>
        <v/>
      </c>
      <c r="G19" t="inlineStr">
        <is>
          <t>Techspace</t>
        </is>
      </c>
      <c r="H19">
        <f>HYPERLINK("https://app.apollo.io/#/accounts/6577eb09ba5cf5011466c40a")</f>
        <v/>
      </c>
      <c r="I19">
        <f>HYPERLINK("http://www.techspace.co/")</f>
        <v/>
      </c>
      <c r="J19">
        <f>HYPERLINK("http://www.linkedin.com/company/techspace-co")</f>
        <v/>
      </c>
      <c r="K19">
        <f>HYPERLINK("https://twitter.com/techspaceco")</f>
        <v/>
      </c>
      <c r="L19">
        <f>HYPERLINK("http://www.facebook.com/techspaceco")</f>
        <v/>
      </c>
      <c r="M19" t="inlineStr">
        <is>
          <t>London, United Kingdom</t>
        </is>
      </c>
      <c r="N19" t="inlineStr">
        <is>
          <t>56</t>
        </is>
      </c>
      <c r="O19" t="inlineStr">
        <is>
          <t>Commercial Real Estate</t>
        </is>
      </c>
      <c r="P19" t="inlineStr">
        <is>
          <t>startups,startups,real estate,real estate</t>
        </is>
      </c>
    </row>
    <row r="20">
      <c r="A20" t="inlineStr">
        <is>
          <t>6577efc4c0a22602bd476f7c</t>
        </is>
      </c>
      <c r="B20" t="inlineStr">
        <is>
          <t>Paris Magee</t>
        </is>
      </c>
      <c r="C20">
        <f>HYPERLINK("http://www.linkedin.com/in/paris-magee-74004779")</f>
        <v/>
      </c>
      <c r="D20" t="inlineStr">
        <is>
          <t>paris@parispropertygroup.com</t>
        </is>
      </c>
      <c r="E20" t="inlineStr">
        <is>
          <t>CEO</t>
        </is>
      </c>
      <c r="F20">
        <f>HYPERLINK("https://app.apollo.io/#/contacts/6577efc4c0a22602bd476f7c")</f>
        <v/>
      </c>
      <c r="G20" t="inlineStr">
        <is>
          <t>Paris Property Group</t>
        </is>
      </c>
      <c r="H20">
        <f>HYPERLINK("https://app.apollo.io/#/accounts/6577efc4c0a22602bd476f7e")</f>
        <v/>
      </c>
      <c r="I20">
        <f>HYPERLINK("http://www.parispropertygroup.com/")</f>
        <v/>
      </c>
      <c r="J20">
        <f>HYPERLINK("http://www.linkedin.com/company/paris-property-group")</f>
        <v/>
      </c>
      <c r="K20">
        <f>HYPERLINK("https://twitter.com/thisparislife")</f>
        <v/>
      </c>
      <c r="L20">
        <f>HYPERLINK("https://www.facebook.com/ParisPropertyGroup/")</f>
        <v/>
      </c>
      <c r="M20" t="inlineStr">
        <is>
          <t>Northampton, United Kingdom</t>
        </is>
      </c>
      <c r="N20" t="inlineStr">
        <is>
          <t>3</t>
        </is>
      </c>
      <c r="O20" t="inlineStr">
        <is>
          <t>Commercial Real Estate</t>
        </is>
      </c>
      <c r="P20" t="inlineStr">
        <is>
          <t>paris real estate,paris real estate,paris property,paris property</t>
        </is>
      </c>
    </row>
    <row r="21">
      <c r="A21" t="inlineStr">
        <is>
          <t>6577f0cf545f7801980808ba</t>
        </is>
      </c>
      <c r="B21" t="inlineStr">
        <is>
          <t>Romario Lima</t>
        </is>
      </c>
      <c r="C21">
        <f>HYPERLINK("http://www.linkedin.com/in/romario-lima-7064b8185")</f>
        <v/>
      </c>
      <c r="D21" t="inlineStr">
        <is>
          <t>romario.lima@kiadoiroda.hu</t>
        </is>
      </c>
      <c r="E21" t="inlineStr">
        <is>
          <t>CEO</t>
        </is>
      </c>
      <c r="F21">
        <f>HYPERLINK("https://app.apollo.io/#/contacts/6577f0cf545f7801980808ba")</f>
        <v/>
      </c>
      <c r="G21" t="inlineStr">
        <is>
          <t>KARA Group</t>
        </is>
      </c>
      <c r="H21">
        <f>HYPERLINK("https://app.apollo.io/#/accounts/6577f0cf545f7801980808bb")</f>
        <v/>
      </c>
      <c r="I21">
        <f>HYPERLINK("http://www.kiadoiroda.hu/")</f>
        <v/>
      </c>
      <c r="J21">
        <f>HYPERLINK("http://www.linkedin.com/company/kara-group-agency")</f>
        <v/>
      </c>
      <c r="K21">
        <f>HYPERLINK("Not Found")</f>
        <v/>
      </c>
      <c r="L21">
        <f>HYPERLINK("https://www.facebook.com/kiado.irodahazak.karaoffices")</f>
        <v/>
      </c>
      <c r="M21" t="inlineStr">
        <is>
          <t>London, United Kingdom</t>
        </is>
      </c>
      <c r="N21" t="inlineStr">
        <is>
          <t>3</t>
        </is>
      </c>
      <c r="O21" t="inlineStr">
        <is>
          <t>Commercial Real Estate</t>
        </is>
      </c>
    </row>
    <row r="22">
      <c r="A22" t="inlineStr">
        <is>
          <t>6577e5fd36fe1101986a4cf6</t>
        </is>
      </c>
      <c r="B22" t="inlineStr">
        <is>
          <t>Paul Onwuanibe</t>
        </is>
      </c>
      <c r="C22">
        <f>HYPERLINK("http://www.linkedin.com/in/paul-onwuanibe")</f>
        <v/>
      </c>
      <c r="D22" t="inlineStr">
        <is>
          <t>paul@landmark-offices.com</t>
        </is>
      </c>
      <c r="E22" t="inlineStr">
        <is>
          <t>CEO</t>
        </is>
      </c>
      <c r="F22">
        <f>HYPERLINK("https://app.apollo.io/#/contacts/6577e5fd36fe1101986a4cf6")</f>
        <v/>
      </c>
      <c r="G22" t="inlineStr">
        <is>
          <t>Landmark Africa</t>
        </is>
      </c>
      <c r="H22">
        <f>HYPERLINK("https://app.apollo.io/#/accounts/6577e5fd36fe1101986a4cf8")</f>
        <v/>
      </c>
      <c r="I22">
        <f>HYPERLINK("http://www.landmarkafrica.com/")</f>
        <v/>
      </c>
      <c r="J22">
        <f>HYPERLINK("http://www.linkedin.com/company/landmarkafrica")</f>
        <v/>
      </c>
      <c r="K22">
        <f>HYPERLINK("https://twitter.com/landmarkafrica")</f>
        <v/>
      </c>
      <c r="L22">
        <f>HYPERLINK("https://www.facebook.com/Landmarkoffices")</f>
        <v/>
      </c>
      <c r="M22" t="inlineStr">
        <is>
          <t>London, United Kingdom</t>
        </is>
      </c>
      <c r="N22" t="inlineStr">
        <is>
          <t>140</t>
        </is>
      </c>
      <c r="O22" t="inlineStr">
        <is>
          <t>Commercial Real Estate</t>
        </is>
      </c>
      <c r="P22" t="inlineStr">
        <is>
          <t>services,services,virtual office,virtual office</t>
        </is>
      </c>
    </row>
    <row r="23">
      <c r="A23" t="inlineStr">
        <is>
          <t>6577eaf1ba5cf5011466c2d4</t>
        </is>
      </c>
      <c r="B23" t="inlineStr">
        <is>
          <t>Adam Landau</t>
        </is>
      </c>
      <c r="C23">
        <f>HYPERLINK("http://www.linkedin.com/in/adam-landau-5929ab1b")</f>
        <v/>
      </c>
      <c r="D23" t="inlineStr">
        <is>
          <t>adam.landau@oneadv.co.uk</t>
        </is>
      </c>
      <c r="E23" t="inlineStr">
        <is>
          <t>CEO</t>
        </is>
      </c>
      <c r="F23">
        <f>HYPERLINK("https://app.apollo.io/#/contacts/6577eaf1ba5cf5011466c2d4")</f>
        <v/>
      </c>
      <c r="G23" t="inlineStr">
        <is>
          <t>One One One</t>
        </is>
      </c>
      <c r="H23">
        <f>HYPERLINK("https://app.apollo.io/#/accounts/6577eaf1ba5cf5011466c2d6")</f>
        <v/>
      </c>
      <c r="I23">
        <f>HYPERLINK("http://www.oneadv.co.uk/")</f>
        <v/>
      </c>
      <c r="J23">
        <f>HYPERLINK("http://www.linkedin.com/company/one-one-one")</f>
        <v/>
      </c>
      <c r="K23">
        <f>HYPERLINK("https://twitter.com/_the_ones")</f>
        <v/>
      </c>
      <c r="L23">
        <f>HYPERLINK("Not Found")</f>
        <v/>
      </c>
      <c r="M23" t="inlineStr">
        <is>
          <t>London, United Kingdom</t>
        </is>
      </c>
      <c r="N23" t="inlineStr">
        <is>
          <t>3</t>
        </is>
      </c>
      <c r="O23" t="inlineStr">
        <is>
          <t>Commercial Real Estate</t>
        </is>
      </c>
      <c r="P23" t="inlineStr">
        <is>
          <t>consulting,consulting,commercial real estate,commercial real estate</t>
        </is>
      </c>
    </row>
    <row r="24">
      <c r="A24" t="inlineStr">
        <is>
          <t>6577eb1dba5cf5011466c4ae</t>
        </is>
      </c>
      <c r="B24" t="inlineStr">
        <is>
          <t>Colin Wills</t>
        </is>
      </c>
      <c r="C24">
        <f>HYPERLINK("http://www.linkedin.com/in/colin-wills-86674817b")</f>
        <v/>
      </c>
      <c r="D24" t="inlineStr">
        <is>
          <t>colin.w@4dml.com</t>
        </is>
      </c>
      <c r="E24" t="inlineStr">
        <is>
          <t>Chief Executive Officer</t>
        </is>
      </c>
      <c r="F24">
        <f>HYPERLINK("https://app.apollo.io/#/contacts/6577eb1dba5cf5011466c4ae")</f>
        <v/>
      </c>
      <c r="G24" t="inlineStr">
        <is>
          <t>4D Monitoring</t>
        </is>
      </c>
      <c r="H24">
        <f>HYPERLINK("https://app.apollo.io/#/accounts/6577eb1dba5cf5011466c4b0")</f>
        <v/>
      </c>
      <c r="I24">
        <f>HYPERLINK("http://www.4dmonitoring.co.uk/")</f>
        <v/>
      </c>
      <c r="J24">
        <f>HYPERLINK("http://www.linkedin.com/company/4d-monitoring")</f>
        <v/>
      </c>
      <c r="K24">
        <f>HYPERLINK("Not Found")</f>
        <v/>
      </c>
      <c r="L24">
        <f>HYPERLINK("Not Found")</f>
        <v/>
      </c>
      <c r="M24" t="inlineStr">
        <is>
          <t>Cambridge, United Kingdom</t>
        </is>
      </c>
      <c r="N24" t="inlineStr">
        <is>
          <t>6</t>
        </is>
      </c>
      <c r="O24" t="inlineStr">
        <is>
          <t>Commercial Real Estate</t>
        </is>
      </c>
      <c r="P24" t="inlineStr">
        <is>
          <t>building environment management,building environment management</t>
        </is>
      </c>
    </row>
    <row r="25">
      <c r="A25" t="inlineStr">
        <is>
          <t>6577eb10ba5cf5019a66225b</t>
        </is>
      </c>
      <c r="B25" t="inlineStr">
        <is>
          <t>Mark Chessman</t>
        </is>
      </c>
      <c r="C25">
        <f>HYPERLINK("http://www.linkedin.com/in/mark-chessman-98810213")</f>
        <v/>
      </c>
      <c r="D25" t="inlineStr">
        <is>
          <t>mchessman@gpl-hire.co.uk</t>
        </is>
      </c>
      <c r="E25" t="inlineStr">
        <is>
          <t>Chief Executive Officer</t>
        </is>
      </c>
      <c r="F25">
        <f>HYPERLINK("https://app.apollo.io/#/contacts/6577eb10ba5cf5019a66225b")</f>
        <v/>
      </c>
      <c r="G25" t="inlineStr">
        <is>
          <t>Go Plant Fleet Services Ltd</t>
        </is>
      </c>
      <c r="H25">
        <f>HYPERLINK("https://app.apollo.io/#/accounts/6577bc5aa3b9550198ec6848")</f>
        <v/>
      </c>
      <c r="I25">
        <f>HYPERLINK("http://www.go-plant.co.uk/")</f>
        <v/>
      </c>
      <c r="J25">
        <f>HYPERLINK("http://www.linkedin.com/company/go-plant-fleet-services-ltd")</f>
        <v/>
      </c>
      <c r="K25">
        <f>HYPERLINK("Not Found")</f>
        <v/>
      </c>
      <c r="L25">
        <f>HYPERLINK("https://www.facebook.com/GoPlantFleetServices/")</f>
        <v/>
      </c>
      <c r="M25" t="inlineStr">
        <is>
          <t>England, United Kingdom</t>
        </is>
      </c>
      <c r="N25" t="inlineStr">
        <is>
          <t>220</t>
        </is>
      </c>
      <c r="O25" t="inlineStr">
        <is>
          <t>Commercial Real Estate</t>
        </is>
      </c>
      <c r="P25" t="inlineStr">
        <is>
          <t>fleet management &amp; maintenance,fleet management &amp; maintenance</t>
        </is>
      </c>
    </row>
    <row r="26">
      <c r="A26" t="inlineStr">
        <is>
          <t>6577e5d336fe1101146a533a</t>
        </is>
      </c>
      <c r="B26" t="inlineStr">
        <is>
          <t>Mark Greig</t>
        </is>
      </c>
      <c r="C26">
        <f>HYPERLINK("http://www.linkedin.com/in/mgreig")</f>
        <v/>
      </c>
      <c r="D26" t="inlineStr">
        <is>
          <t>markg@paramount-properties.co.uk</t>
        </is>
      </c>
      <c r="E26" t="inlineStr">
        <is>
          <t>CEO</t>
        </is>
      </c>
      <c r="F26">
        <f>HYPERLINK("https://app.apollo.io/#/contacts/6577e5d336fe1101146a533a")</f>
        <v/>
      </c>
      <c r="G26" t="inlineStr">
        <is>
          <t>Paramount Properties</t>
        </is>
      </c>
      <c r="H26">
        <f>HYPERLINK("https://app.apollo.io/#/accounts/6577e5d336fe1101146a533c")</f>
        <v/>
      </c>
      <c r="I26">
        <f>HYPERLINK("http://www.paramount-properties.co.uk/")</f>
        <v/>
      </c>
      <c r="J26">
        <f>HYPERLINK("http://www.linkedin.com/company/paramount-group-of-companies")</f>
        <v/>
      </c>
      <c r="K26">
        <f>HYPERLINK("https://twitter.com/paramountldn")</f>
        <v/>
      </c>
      <c r="L26">
        <f>HYPERLINK("https://www.facebook.com/paramountpropertieslondon")</f>
        <v/>
      </c>
      <c r="M26" t="inlineStr">
        <is>
          <t>London, United Kingdom</t>
        </is>
      </c>
      <c r="N26" t="inlineStr">
        <is>
          <t>69</t>
        </is>
      </c>
      <c r="O26" t="inlineStr">
        <is>
          <t>Commercial Real Estate</t>
        </is>
      </c>
      <c r="P26" t="inlineStr">
        <is>
          <t>residential lettings,residential lettings,investment properties,investment properties</t>
        </is>
      </c>
    </row>
    <row r="27">
      <c r="A27" t="inlineStr">
        <is>
          <t>6577e5e736fe11021b6a481c</t>
        </is>
      </c>
      <c r="B27" t="inlineStr">
        <is>
          <t>Rishi Chouhan</t>
        </is>
      </c>
      <c r="C27">
        <f>HYPERLINK("http://www.linkedin.com/in/rishi-chouhan-257b6631")</f>
        <v/>
      </c>
      <c r="D27" t="inlineStr">
        <is>
          <t>rishi@luxurylivinghomes.co.uk</t>
        </is>
      </c>
      <c r="E27" t="inlineStr">
        <is>
          <t>Chief Executive Officer</t>
        </is>
      </c>
      <c r="F27">
        <f>HYPERLINK("https://app.apollo.io/#/contacts/6577e5e736fe11021b6a481c")</f>
        <v/>
      </c>
      <c r="G27" t="inlineStr">
        <is>
          <t>Luxury Living Homes International</t>
        </is>
      </c>
      <c r="H27">
        <f>HYPERLINK("https://app.apollo.io/#/accounts/6577e5e736fe11021b6a481e")</f>
        <v/>
      </c>
      <c r="I27">
        <f>HYPERLINK("http://www.luxurylivinghomes.co.uk/")</f>
        <v/>
      </c>
      <c r="J27">
        <f>HYPERLINK("http://www.linkedin.com/company/luxurylivinghomes")</f>
        <v/>
      </c>
      <c r="K27">
        <f>HYPERLINK("Not Found")</f>
        <v/>
      </c>
      <c r="L27">
        <f>HYPERLINK("https://www.facebook.com/100775214687803")</f>
        <v/>
      </c>
      <c r="M27" t="inlineStr">
        <is>
          <t>London, United Kingdom</t>
        </is>
      </c>
      <c r="N27" t="inlineStr">
        <is>
          <t>50</t>
        </is>
      </c>
      <c r="O27" t="inlineStr">
        <is>
          <t>Commercial Real Estate</t>
        </is>
      </c>
      <c r="P27" t="inlineStr">
        <is>
          <t>development funding mezz,development funding mezz</t>
        </is>
      </c>
    </row>
    <row r="28">
      <c r="A28" t="inlineStr">
        <is>
          <t>6577e5d836fe1101146a5364</t>
        </is>
      </c>
      <c r="B28" t="inlineStr">
        <is>
          <t>Ahsan Ellahi</t>
        </is>
      </c>
      <c r="C28">
        <f>HYPERLINK("http://www.linkedin.com/in/ahsan-ellahi-295283110")</f>
        <v/>
      </c>
      <c r="D28" t="inlineStr">
        <is>
          <t>ahsan.ellahi@langhamestate.com</t>
        </is>
      </c>
      <c r="E28" t="inlineStr">
        <is>
          <t>Chief Executive Officer</t>
        </is>
      </c>
      <c r="F28">
        <f>HYPERLINK("https://app.apollo.io/#/contacts/6577e5d836fe1101146a5364")</f>
        <v/>
      </c>
      <c r="G28" t="inlineStr">
        <is>
          <t>The Langham Estate</t>
        </is>
      </c>
      <c r="H28">
        <f>HYPERLINK("https://app.apollo.io/#/accounts/6577e5d836fe1101146a5366")</f>
        <v/>
      </c>
      <c r="I28">
        <f>HYPERLINK("http://www.langhamestate.com/")</f>
        <v/>
      </c>
      <c r="J28">
        <f>HYPERLINK("http://www.linkedin.com/company/langham-estate")</f>
        <v/>
      </c>
      <c r="K28">
        <f>HYPERLINK("https://twitter.com/jetpack")</f>
        <v/>
      </c>
      <c r="L28">
        <f>HYPERLINK("https://facebook.com/pages/Langham-Estate-Management-Ltd/249673565101232")</f>
        <v/>
      </c>
      <c r="M28" t="inlineStr">
        <is>
          <t>London, United Kingdom</t>
        </is>
      </c>
      <c r="N28" t="inlineStr">
        <is>
          <t>50</t>
        </is>
      </c>
      <c r="O28" t="inlineStr">
        <is>
          <t>Commercial Real Estate</t>
        </is>
      </c>
      <c r="P28" t="inlineStr">
        <is>
          <t>commercial real estate,commercial real estate</t>
        </is>
      </c>
    </row>
    <row r="29">
      <c r="A29" t="inlineStr">
        <is>
          <t>6577eafdba5cf5021d65f762</t>
        </is>
      </c>
      <c r="B29" t="inlineStr">
        <is>
          <t>Ian Goodwin</t>
        </is>
      </c>
      <c r="C29">
        <f>HYPERLINK("http://www.linkedin.com/in/ian-goodwin-60b31911")</f>
        <v/>
      </c>
      <c r="D29" t="inlineStr">
        <is>
          <t>ian.goodwin@welbeck.co.uk</t>
        </is>
      </c>
      <c r="E29" t="inlineStr">
        <is>
          <t>Chief Executive Officer</t>
        </is>
      </c>
      <c r="F29">
        <f>HYPERLINK("https://app.apollo.io/#/contacts/6577eafdba5cf5021d65f762")</f>
        <v/>
      </c>
      <c r="G29" t="inlineStr">
        <is>
          <t>The Welbeck Estates Company Limited</t>
        </is>
      </c>
      <c r="H29">
        <f>HYPERLINK("https://app.apollo.io/#/accounts/6577eafdba5cf5021d65f764")</f>
        <v/>
      </c>
      <c r="I29">
        <f>HYPERLINK("http://www.welbeck.co.uk/")</f>
        <v/>
      </c>
      <c r="J29">
        <f>HYPERLINK("http://www.linkedin.com/company/the-welbeck-estates-company-limited")</f>
        <v/>
      </c>
      <c r="K29">
        <f>HYPERLINK("https://www.twitter.com/welbeckestate")</f>
        <v/>
      </c>
      <c r="L29">
        <f>HYPERLINK("https://www.facebook.com/WelbeckCourtyard/")</f>
        <v/>
      </c>
      <c r="M29" t="inlineStr">
        <is>
          <t>Milton Keynes, United Kingdom</t>
        </is>
      </c>
      <c r="N29" t="inlineStr">
        <is>
          <t>41</t>
        </is>
      </c>
      <c r="O29" t="inlineStr">
        <is>
          <t>Commercial Real Estate</t>
        </is>
      </c>
    </row>
    <row r="30">
      <c r="A30" t="inlineStr">
        <is>
          <t>6577f08d85e3150114656366</t>
        </is>
      </c>
      <c r="B30" t="inlineStr">
        <is>
          <t>Julie Green</t>
        </is>
      </c>
      <c r="C30">
        <f>HYPERLINK("http://www.linkedin.com/in/julie-green-5b673092")</f>
        <v/>
      </c>
      <c r="D30" t="inlineStr">
        <is>
          <t>julie@parrs.co.uk</t>
        </is>
      </c>
      <c r="E30" t="inlineStr">
        <is>
          <t>Chief Executive Officer</t>
        </is>
      </c>
      <c r="F30">
        <f>HYPERLINK("https://app.apollo.io/#/contacts/6577f08d85e3150114656366")</f>
        <v/>
      </c>
      <c r="G30" t="inlineStr">
        <is>
          <t>PARRS</t>
        </is>
      </c>
      <c r="H30">
        <f>HYPERLINK("https://app.apollo.io/#/accounts/6577f08d85e3150114656368")</f>
        <v/>
      </c>
      <c r="I30">
        <f>HYPERLINK("http://www.parrs.co.uk/")</f>
        <v/>
      </c>
      <c r="J30">
        <f>HYPERLINK("http://www.linkedin.com/company/parrs")</f>
        <v/>
      </c>
      <c r="K30">
        <f>HYPERLINK("https://twitter.com/ParrsWorkplace")</f>
        <v/>
      </c>
      <c r="L30">
        <f>HYPERLINK("https://www.facebook.com/ParrsWorkplace/")</f>
        <v/>
      </c>
      <c r="M30" t="inlineStr">
        <is>
          <t>United Kingdom</t>
        </is>
      </c>
      <c r="N30" t="inlineStr">
        <is>
          <t>24</t>
        </is>
      </c>
      <c r="O30" t="inlineStr">
        <is>
          <t>Commercial Real Estate</t>
        </is>
      </c>
      <c r="P30" t="inlineStr">
        <is>
          <t>cycle racks,cycle racks,shelters,shelters</t>
        </is>
      </c>
    </row>
    <row r="31">
      <c r="A31" t="inlineStr">
        <is>
          <t>6577f1fa261b700114efbb73</t>
        </is>
      </c>
      <c r="B31" t="inlineStr">
        <is>
          <t>Marcus Ginn</t>
        </is>
      </c>
      <c r="C31">
        <f>HYPERLINK("http://www.linkedin.com/in/marcus-ginn-185284108")</f>
        <v/>
      </c>
      <c r="D31" t="inlineStr">
        <is>
          <t>marcus@edozo.com</t>
        </is>
      </c>
      <c r="E31" t="inlineStr">
        <is>
          <t>Founder &amp; CEO</t>
        </is>
      </c>
      <c r="F31">
        <f>HYPERLINK("https://app.apollo.io/#/contacts/6577f1fa261b700114efbb73")</f>
        <v/>
      </c>
      <c r="G31" t="inlineStr">
        <is>
          <t>edozo</t>
        </is>
      </c>
      <c r="H31">
        <f>HYPERLINK("https://app.apollo.io/#/accounts/6577f1fa261b700114efbb75")</f>
        <v/>
      </c>
      <c r="I31">
        <f>HYPERLINK("http://www.edozo.com/")</f>
        <v/>
      </c>
      <c r="J31">
        <f>HYPERLINK("http://www.linkedin.com/company/edozo")</f>
        <v/>
      </c>
      <c r="K31">
        <f>HYPERLINK("https://twitter.com/edozo_uk")</f>
        <v/>
      </c>
      <c r="L31">
        <f>HYPERLINK("https://facebook.com/edozomaps/")</f>
        <v/>
      </c>
      <c r="M31" t="inlineStr">
        <is>
          <t>London, United Kingdom</t>
        </is>
      </c>
      <c r="N31" t="inlineStr">
        <is>
          <t>38</t>
        </is>
      </c>
      <c r="O31" t="inlineStr">
        <is>
          <t>Commercial Real Estate</t>
        </is>
      </c>
      <c r="P31" t="inlineStr">
        <is>
          <t>data,data,crm,crm,real estate technology,real estate technology</t>
        </is>
      </c>
    </row>
    <row r="32">
      <c r="A32" t="inlineStr">
        <is>
          <t>6577f207261b7002a0ef0793</t>
        </is>
      </c>
      <c r="B32" t="inlineStr">
        <is>
          <t>Savannah Savary</t>
        </is>
      </c>
      <c r="C32">
        <f>HYPERLINK("http://www.linkedin.com/in/savannahdesavary")</f>
        <v/>
      </c>
      <c r="D32" t="inlineStr">
        <is>
          <t>savannah@built-id.com</t>
        </is>
      </c>
      <c r="E32" t="inlineStr">
        <is>
          <t>Founder and CEO</t>
        </is>
      </c>
      <c r="F32">
        <f>HYPERLINK("https://app.apollo.io/#/contacts/6577f207261b7002a0ef0793")</f>
        <v/>
      </c>
      <c r="G32" t="inlineStr">
        <is>
          <t>Built-ID</t>
        </is>
      </c>
      <c r="H32">
        <f>HYPERLINK("https://app.apollo.io/#/accounts/6577bc5da3b9550198ec6857")</f>
        <v/>
      </c>
      <c r="I32">
        <f>HYPERLINK("http://www.built-id.com/")</f>
        <v/>
      </c>
      <c r="J32">
        <f>HYPERLINK("http://www.linkedin.com/company/built-id")</f>
        <v/>
      </c>
      <c r="K32">
        <f>HYPERLINK("https://twitter.com/Built_ID")</f>
        <v/>
      </c>
      <c r="L32">
        <f>HYPERLINK("Not Found")</f>
        <v/>
      </c>
      <c r="M32" t="inlineStr">
        <is>
          <t>London, United Kingdom</t>
        </is>
      </c>
      <c r="N32" t="inlineStr">
        <is>
          <t>11</t>
        </is>
      </c>
      <c r="O32" t="inlineStr">
        <is>
          <t>Commercial Real Estate</t>
        </is>
      </c>
      <c r="P32" t="inlineStr">
        <is>
          <t>commercial real estate,commercial real estate</t>
        </is>
      </c>
    </row>
    <row r="33">
      <c r="A33" t="inlineStr">
        <is>
          <t>6577f20d261b7002a0ef07ce</t>
        </is>
      </c>
      <c r="B33" t="inlineStr">
        <is>
          <t>Lukas Balik</t>
        </is>
      </c>
      <c r="C33">
        <f>HYPERLINK("http://www.linkedin.com/in/lukasbalik")</f>
        <v/>
      </c>
      <c r="D33" t="inlineStr">
        <is>
          <t>lukas.balik@spaceflow.io</t>
        </is>
      </c>
      <c r="E33" t="inlineStr">
        <is>
          <t>Co-Founder, CEO</t>
        </is>
      </c>
      <c r="F33">
        <f>HYPERLINK("https://app.apollo.io/#/contacts/6577f20d261b7002a0ef07ce")</f>
        <v/>
      </c>
      <c r="G33" t="inlineStr">
        <is>
          <t>Spaceflow</t>
        </is>
      </c>
      <c r="H33">
        <f>HYPERLINK("https://app.apollo.io/#/accounts/6577f20d261b7002a0ef07d0")</f>
        <v/>
      </c>
      <c r="I33">
        <f>HYPERLINK("http://www.spaceflow.io/")</f>
        <v/>
      </c>
      <c r="J33">
        <f>HYPERLINK("http://www.linkedin.com/company/spaceflow")</f>
        <v/>
      </c>
      <c r="K33">
        <f>HYPERLINK("https://twitter.com/Spaceflowapp")</f>
        <v/>
      </c>
      <c r="L33">
        <f>HYPERLINK("https://www.facebook.com/spaceflow.io/")</f>
        <v/>
      </c>
      <c r="M33" t="inlineStr">
        <is>
          <t>London, United Kingdom</t>
        </is>
      </c>
      <c r="N33" t="inlineStr">
        <is>
          <t>30</t>
        </is>
      </c>
      <c r="O33" t="inlineStr">
        <is>
          <t>Commercial Real Estate</t>
        </is>
      </c>
      <c r="P33" t="inlineStr">
        <is>
          <t>digital,digital,realestate,realestate,technology,technology</t>
        </is>
      </c>
    </row>
    <row r="34">
      <c r="A34" t="inlineStr">
        <is>
          <t>6577f200261b7002a0ef077b</t>
        </is>
      </c>
      <c r="B34" t="inlineStr">
        <is>
          <t>Dennis Matse-Orere</t>
        </is>
      </c>
      <c r="C34">
        <f>HYPERLINK("http://www.linkedin.com/in/dennismatseorere")</f>
        <v/>
      </c>
      <c r="D34" t="inlineStr">
        <is>
          <t>dennis@legacypcl.co.uk</t>
        </is>
      </c>
      <c r="E34" t="inlineStr">
        <is>
          <t>CEO/Founder</t>
        </is>
      </c>
      <c r="F34">
        <f>HYPERLINK("https://app.apollo.io/#/contacts/6577f200261b7002a0ef077b")</f>
        <v/>
      </c>
      <c r="G34" t="inlineStr">
        <is>
          <t>Legacy Property Consultants</t>
        </is>
      </c>
      <c r="H34">
        <f>HYPERLINK("https://app.apollo.io/#/accounts/6577f201261b7002a0ef077d")</f>
        <v/>
      </c>
      <c r="I34">
        <f>HYPERLINK("http://www.legacypcl.co.uk/")</f>
        <v/>
      </c>
      <c r="J34">
        <f>HYPERLINK("http://www.linkedin.com/company/legacy-property-consultants")</f>
        <v/>
      </c>
      <c r="K34">
        <f>HYPERLINK("https://twitter.com/LegacyProperty9")</f>
        <v/>
      </c>
      <c r="L34">
        <f>HYPERLINK("https://www.facebook.com/legacypropertyconsultants")</f>
        <v/>
      </c>
      <c r="M34" t="inlineStr">
        <is>
          <t>London, United Kingdom</t>
        </is>
      </c>
      <c r="N34" t="inlineStr">
        <is>
          <t>6</t>
        </is>
      </c>
      <c r="O34" t="inlineStr">
        <is>
          <t>Commercial Real Estate</t>
        </is>
      </c>
      <c r="P34" t="inlineStr">
        <is>
          <t>property management,property management</t>
        </is>
      </c>
    </row>
    <row r="35">
      <c r="A35" t="inlineStr">
        <is>
          <t>6577f2b837a15e011434a78f</t>
        </is>
      </c>
      <c r="B35" t="inlineStr">
        <is>
          <t>David Howarth</t>
        </is>
      </c>
      <c r="C35">
        <f>HYPERLINK("http://www.linkedin.com/in/david-howarth-9059a6b2")</f>
        <v/>
      </c>
      <c r="D35" t="inlineStr">
        <is>
          <t>dh@orplexltd.co.uk</t>
        </is>
      </c>
      <c r="E35" t="inlineStr">
        <is>
          <t>Partner /Owner</t>
        </is>
      </c>
      <c r="F35">
        <f>HYPERLINK("https://app.apollo.io/#/contacts/6577f2b837a15e011434a78f")</f>
        <v/>
      </c>
      <c r="G35" t="inlineStr">
        <is>
          <t>Stone House Properties</t>
        </is>
      </c>
      <c r="H35">
        <f>HYPERLINK("https://app.apollo.io/#/accounts/6577f2b837a15e011434a791")</f>
        <v/>
      </c>
      <c r="I35">
        <f>HYPERLINK("http://www.stonehouseproperties.com/")</f>
        <v/>
      </c>
      <c r="J35">
        <f>HYPERLINK("http://www.linkedin.com/company/stone-house-properties")</f>
        <v/>
      </c>
      <c r="K35">
        <f>HYPERLINK("https://twitter.com/suzannecrerar")</f>
        <v/>
      </c>
      <c r="L35">
        <f>HYPERLINK("https://facebook.com/pages/Stone-House-Properties-LLC/304687475979")</f>
        <v/>
      </c>
      <c r="M35" t="inlineStr">
        <is>
          <t>Bury, United Kingdom</t>
        </is>
      </c>
      <c r="N35" t="inlineStr">
        <is>
          <t>26</t>
        </is>
      </c>
      <c r="O35" t="inlineStr">
        <is>
          <t>Commercial Real Estate</t>
        </is>
      </c>
      <c r="P35" t="inlineStr">
        <is>
          <t>commercial real estate,commercial real estate</t>
        </is>
      </c>
    </row>
    <row r="36">
      <c r="A36" t="inlineStr">
        <is>
          <t>6577f219261b700114efbb91</t>
        </is>
      </c>
      <c r="B36" t="inlineStr">
        <is>
          <t>Tom Curtis</t>
        </is>
      </c>
      <c r="C36">
        <f>HYPERLINK("http://www.linkedin.com/in/tom-curtis-32890060")</f>
        <v/>
      </c>
      <c r="D36" t="inlineStr">
        <is>
          <t>t.curtis@thisisgravity.co.uk</t>
        </is>
      </c>
      <c r="E36" t="inlineStr">
        <is>
          <t>Co Founder and Co-CEO</t>
        </is>
      </c>
      <c r="F36">
        <f>HYPERLINK("https://app.apollo.io/#/contacts/6577f219261b700114efbb91")</f>
        <v/>
      </c>
      <c r="G36" t="inlineStr">
        <is>
          <t>Gravity - Smart Campus</t>
        </is>
      </c>
      <c r="H36">
        <f>HYPERLINK("https://app.apollo.io/#/accounts/6577f219261b700114efbb92")</f>
        <v/>
      </c>
      <c r="I36">
        <f>HYPERLINK("http://www.thisisgravity.co.uk/")</f>
        <v/>
      </c>
      <c r="J36">
        <f>HYPERLINK("http://www.linkedin.com/company/thisisgravity")</f>
        <v/>
      </c>
      <c r="K36">
        <f>HYPERLINK("Not Found")</f>
        <v/>
      </c>
      <c r="L36">
        <f>HYPERLINK("Not Found")</f>
        <v/>
      </c>
      <c r="M36" t="inlineStr">
        <is>
          <t>London, United Kingdom</t>
        </is>
      </c>
      <c r="N36" t="inlineStr">
        <is>
          <t>7</t>
        </is>
      </c>
      <c r="O36" t="inlineStr">
        <is>
          <t>Commercial Real Estate</t>
        </is>
      </c>
      <c r="P36" t="inlineStr">
        <is>
          <t>clean growth,clean growth,business park,business park</t>
        </is>
      </c>
    </row>
    <row r="37">
      <c r="A37" t="inlineStr">
        <is>
          <t>6577f2be37a15e019834420a</t>
        </is>
      </c>
      <c r="B37" t="inlineStr">
        <is>
          <t>Iryna Ignatyeva</t>
        </is>
      </c>
      <c r="C37">
        <f>HYPERLINK("http://www.linkedin.com/in/iryna-ignatyeva-970577b")</f>
        <v/>
      </c>
      <c r="D37" t="inlineStr">
        <is>
          <t>iryna@buyrentcommercial.com</t>
        </is>
      </c>
      <c r="E37" t="inlineStr">
        <is>
          <t>Founder/Owner</t>
        </is>
      </c>
      <c r="F37">
        <f>HYPERLINK("https://app.apollo.io/#/contacts/6577f2be37a15e019834420a")</f>
        <v/>
      </c>
      <c r="G37" t="inlineStr">
        <is>
          <t>Buyrentcommercial.com</t>
        </is>
      </c>
      <c r="H37">
        <f>HYPERLINK("https://app.apollo.io/#/accounts/6577f2be37a15e019834420c")</f>
        <v/>
      </c>
      <c r="I37">
        <f>HYPERLINK("http://www.buyrentcommercial.com/")</f>
        <v/>
      </c>
      <c r="J37">
        <f>HYPERLINK("http://www.linkedin.com/company/buyrentcommercial-com")</f>
        <v/>
      </c>
      <c r="K37">
        <f>HYPERLINK("Not Found")</f>
        <v/>
      </c>
      <c r="L37">
        <f>HYPERLINK("Not Found")</f>
        <v/>
      </c>
      <c r="M37" t="inlineStr">
        <is>
          <t>Bristol, United Kingdom</t>
        </is>
      </c>
      <c r="N37" t="inlineStr">
        <is>
          <t>2</t>
        </is>
      </c>
      <c r="O37" t="inlineStr">
        <is>
          <t>Commercial Real Estate</t>
        </is>
      </c>
      <c r="P37" t="inlineStr">
        <is>
          <t>commercial real estate,commercial real estate</t>
        </is>
      </c>
    </row>
    <row r="38">
      <c r="A38" t="inlineStr">
        <is>
          <t>6577f2fc37a15e011434a8fb</t>
        </is>
      </c>
      <c r="B38" t="inlineStr">
        <is>
          <t>Conor Osborne</t>
        </is>
      </c>
      <c r="C38">
        <f>HYPERLINK("http://www.linkedin.com/in/conorosborne")</f>
        <v/>
      </c>
      <c r="D38" t="inlineStr">
        <is>
          <t>conor@osborneim.com</t>
        </is>
      </c>
      <c r="E38" t="inlineStr">
        <is>
          <t>Co-Founder &amp; Managing Partner</t>
        </is>
      </c>
      <c r="F38">
        <f>HYPERLINK("https://app.apollo.io/#/contacts/6577f2fc37a15e011434a8fb")</f>
        <v/>
      </c>
      <c r="G38" t="inlineStr">
        <is>
          <t>Osborne+Co Investment Management</t>
        </is>
      </c>
      <c r="H38">
        <f>HYPERLINK("https://app.apollo.io/#/accounts/6577f2ef37a15e011434a8aa")</f>
        <v/>
      </c>
      <c r="I38">
        <f>HYPERLINK("http://www.osborneim.com/")</f>
        <v/>
      </c>
      <c r="J38">
        <f>HYPERLINK("http://www.linkedin.com/company/osborne-co-investment-management")</f>
        <v/>
      </c>
      <c r="K38">
        <f>HYPERLINK("Not Found")</f>
        <v/>
      </c>
      <c r="L38">
        <f>HYPERLINK("Not Found")</f>
        <v/>
      </c>
      <c r="M38" t="inlineStr">
        <is>
          <t>West End, United Kingdom</t>
        </is>
      </c>
      <c r="N38" t="inlineStr">
        <is>
          <t>4</t>
        </is>
      </c>
      <c r="O38" t="inlineStr">
        <is>
          <t>Commercial Real Estate</t>
        </is>
      </c>
      <c r="P38" t="inlineStr">
        <is>
          <t>commercial real estate,commercial real estate</t>
        </is>
      </c>
    </row>
    <row r="39">
      <c r="A39" t="inlineStr">
        <is>
          <t>6577f2ef37a15e011434a8a9</t>
        </is>
      </c>
      <c r="B39" t="inlineStr">
        <is>
          <t>Rishi Khurana</t>
        </is>
      </c>
      <c r="C39">
        <f>HYPERLINK("http://www.linkedin.com/in/rishi-khurana-3a680b48")</f>
        <v/>
      </c>
      <c r="D39" t="inlineStr">
        <is>
          <t>rishi@osborneim.com</t>
        </is>
      </c>
      <c r="E39" t="inlineStr">
        <is>
          <t>Co-Founder &amp; Managing Partner</t>
        </is>
      </c>
      <c r="F39">
        <f>HYPERLINK("https://app.apollo.io/#/contacts/6577f2ef37a15e011434a8a9")</f>
        <v/>
      </c>
      <c r="G39" t="inlineStr">
        <is>
          <t>Osborne+Co Investment Management</t>
        </is>
      </c>
      <c r="H39">
        <f>HYPERLINK("https://app.apollo.io/#/accounts/6577f2ef37a15e011434a8aa")</f>
        <v/>
      </c>
      <c r="I39">
        <f>HYPERLINK("http://www.osborneim.com/")</f>
        <v/>
      </c>
      <c r="J39">
        <f>HYPERLINK("http://www.linkedin.com/company/osborne-co-investment-management")</f>
        <v/>
      </c>
      <c r="K39">
        <f>HYPERLINK("Not Found")</f>
        <v/>
      </c>
      <c r="L39">
        <f>HYPERLINK("Not Found")</f>
        <v/>
      </c>
      <c r="M39" t="inlineStr">
        <is>
          <t>London, United Kingdom</t>
        </is>
      </c>
      <c r="N39" t="inlineStr">
        <is>
          <t>4</t>
        </is>
      </c>
      <c r="O39" t="inlineStr">
        <is>
          <t>Commercial Real Estate</t>
        </is>
      </c>
      <c r="P39" t="inlineStr">
        <is>
          <t>commercial real estate,commercial real estate</t>
        </is>
      </c>
    </row>
    <row r="40">
      <c r="A40" t="inlineStr">
        <is>
          <t>6577f2f537a15e011434a8dd</t>
        </is>
      </c>
      <c r="B40" t="inlineStr">
        <is>
          <t>Kieran Christie</t>
        </is>
      </c>
      <c r="C40">
        <f>HYPERLINK("http://www.linkedin.com/in/kieran-christie-30171024")</f>
        <v/>
      </c>
      <c r="D40" t="inlineStr">
        <is>
          <t>kieran.christie@metspace.co.uk</t>
        </is>
      </c>
      <c r="E40" t="inlineStr">
        <is>
          <t>Head of Sales</t>
        </is>
      </c>
      <c r="F40">
        <f>HYPERLINK("https://app.apollo.io/#/contacts/6577f2f537a15e011434a8dd")</f>
        <v/>
      </c>
      <c r="G40" t="inlineStr">
        <is>
          <t>MetSpace London Limited</t>
        </is>
      </c>
      <c r="H40">
        <f>HYPERLINK("https://app.apollo.io/#/accounts/6577f2f537a15e011434a8df")</f>
        <v/>
      </c>
      <c r="I40">
        <f>HYPERLINK("http://www.metspace.co.uk/")</f>
        <v/>
      </c>
      <c r="J40">
        <f>HYPERLINK("http://www.linkedin.com/company/metspace-london-limited")</f>
        <v/>
      </c>
      <c r="K40">
        <f>HYPERLINK("Not Found")</f>
        <v/>
      </c>
      <c r="L40">
        <f>HYPERLINK("Not Found")</f>
        <v/>
      </c>
      <c r="M40" t="inlineStr">
        <is>
          <t>London, United Kingdom</t>
        </is>
      </c>
      <c r="N40" t="inlineStr">
        <is>
          <t>8</t>
        </is>
      </c>
      <c r="O40" t="inlineStr">
        <is>
          <t>Commercial Real Estate</t>
        </is>
      </c>
      <c r="P40" t="inlineStr">
        <is>
          <t>flexible office space,flexible office space</t>
        </is>
      </c>
    </row>
    <row r="41">
      <c r="A41" t="inlineStr">
        <is>
          <t>6577f31637a15e022d3409ec</t>
        </is>
      </c>
      <c r="B41" t="inlineStr">
        <is>
          <t>Luke Rogers</t>
        </is>
      </c>
      <c r="C41">
        <f>HYPERLINK("http://www.linkedin.com/in/luke-rogers-0003011a1")</f>
        <v/>
      </c>
      <c r="D41" t="inlineStr">
        <is>
          <t>luke.rogers@swanbusinessbrokers.co.uk</t>
        </is>
      </c>
      <c r="E41" t="inlineStr">
        <is>
          <t>Head Of Sales</t>
        </is>
      </c>
      <c r="F41">
        <f>HYPERLINK("https://app.apollo.io/#/contacts/6577f31637a15e022d3409ec")</f>
        <v/>
      </c>
      <c r="G41" t="inlineStr">
        <is>
          <t>Swan Business Brokers</t>
        </is>
      </c>
      <c r="H41">
        <f>HYPERLINK("https://app.apollo.io/#/accounts/6577f31637a15e022d3409ed")</f>
        <v/>
      </c>
      <c r="I41">
        <f>HYPERLINK("http://www.swanbusinessbrokers.co.uk/")</f>
        <v/>
      </c>
      <c r="J41">
        <f>HYPERLINK("http://www.linkedin.com/company/swan-business-brokers")</f>
        <v/>
      </c>
      <c r="K41">
        <f>HYPERLINK("Not Found")</f>
        <v/>
      </c>
      <c r="L41">
        <f>HYPERLINK("Not Found")</f>
        <v/>
      </c>
      <c r="M41" t="inlineStr">
        <is>
          <t>United Kingdom</t>
        </is>
      </c>
      <c r="N41" t="inlineStr">
        <is>
          <t>3</t>
        </is>
      </c>
      <c r="O41" t="inlineStr">
        <is>
          <t>Commercial Real Estate</t>
        </is>
      </c>
      <c r="P41" t="inlineStr">
        <is>
          <t>project management,project management</t>
        </is>
      </c>
    </row>
    <row r="42">
      <c r="A42" t="inlineStr">
        <is>
          <t>6577f32337a15e011434a9c5</t>
        </is>
      </c>
      <c r="B42" t="inlineStr">
        <is>
          <t>Natasha Nicholls</t>
        </is>
      </c>
      <c r="C42">
        <f>HYPERLINK("http://www.linkedin.com/in/natasha-nicholls-314210184")</f>
        <v/>
      </c>
      <c r="D42" t="inlineStr">
        <is>
          <t>tash@mainyardstudios.co.uk</t>
        </is>
      </c>
      <c r="E42" t="inlineStr">
        <is>
          <t>Head Of Sales</t>
        </is>
      </c>
      <c r="F42">
        <f>HYPERLINK("https://app.apollo.io/#/contacts/6577f32337a15e011434a9c5")</f>
        <v/>
      </c>
      <c r="G42" t="inlineStr">
        <is>
          <t>Mainyard Studios</t>
        </is>
      </c>
      <c r="H42">
        <f>HYPERLINK("https://app.apollo.io/#/accounts/6577f32337a15e011434a9c7")</f>
        <v/>
      </c>
      <c r="I42">
        <f>HYPERLINK("http://www.mainyardstudios.co.uk/")</f>
        <v/>
      </c>
      <c r="J42">
        <f>HYPERLINK("http://www.linkedin.com/company/mainyardstudios")</f>
        <v/>
      </c>
      <c r="K42">
        <f>HYPERLINK("https://twitter.com/mainyardstudios")</f>
        <v/>
      </c>
      <c r="L42">
        <f>HYPERLINK("https://www.facebook.com/mainyardstudios/")</f>
        <v/>
      </c>
      <c r="M42" t="inlineStr">
        <is>
          <t>London, United Kingdom</t>
        </is>
      </c>
      <c r="N42" t="inlineStr">
        <is>
          <t>13</t>
        </is>
      </c>
      <c r="O42" t="inlineStr">
        <is>
          <t>Commercial Real Estate</t>
        </is>
      </c>
      <c r="P42" t="inlineStr">
        <is>
          <t>sustainability,sustainability,new tecnologies,new tecnologies</t>
        </is>
      </c>
    </row>
    <row r="43">
      <c r="A43" t="inlineStr">
        <is>
          <t>6577f30937a15e011434a941</t>
        </is>
      </c>
      <c r="B43" t="inlineStr">
        <is>
          <t>Matt Dyke</t>
        </is>
      </c>
      <c r="C43">
        <f>HYPERLINK("http://www.linkedin.com/in/matt-dyke-91527648")</f>
        <v/>
      </c>
      <c r="D43" t="inlineStr">
        <is>
          <t>mattdyke@dawsongroup.co.uk</t>
        </is>
      </c>
      <c r="E43" t="inlineStr">
        <is>
          <t>Head of Sales</t>
        </is>
      </c>
      <c r="F43">
        <f>HYPERLINK("https://app.apollo.io/#/contacts/6577f30937a15e011434a941")</f>
        <v/>
      </c>
      <c r="G43" t="inlineStr">
        <is>
          <t>Dawsongroup</t>
        </is>
      </c>
      <c r="H43">
        <f>HYPERLINK("https://app.apollo.io/#/accounts/6577f30937a15e011434a943")</f>
        <v/>
      </c>
      <c r="I43">
        <f>HYPERLINK("http://www.dawsongroup.co.uk/")</f>
        <v/>
      </c>
      <c r="J43">
        <f>HYPERLINK("http://www.linkedin.com/company/dawsongroup-plc")</f>
        <v/>
      </c>
      <c r="K43">
        <f>HYPERLINK("https://twitter.com/dawsongroupplc")</f>
        <v/>
      </c>
      <c r="L43">
        <f>HYPERLINK("Not Found")</f>
        <v/>
      </c>
      <c r="M43" t="inlineStr">
        <is>
          <t>Sheffield, United Kingdom</t>
        </is>
      </c>
      <c r="N43" t="inlineStr">
        <is>
          <t>390</t>
        </is>
      </c>
      <c r="O43" t="inlineStr">
        <is>
          <t>Commercial Real Estate</t>
        </is>
      </c>
      <c r="P43" t="inlineStr">
        <is>
          <t>asset management,asset management,rental,rental</t>
        </is>
      </c>
    </row>
    <row r="44">
      <c r="A44" t="inlineStr">
        <is>
          <t>6577f31037a15e01983442a8</t>
        </is>
      </c>
      <c r="B44" t="inlineStr">
        <is>
          <t>Omar Nuaimi</t>
        </is>
      </c>
      <c r="C44">
        <f>HYPERLINK("http://www.linkedin.com/in/omar-nuaimi-76b430b3")</f>
        <v/>
      </c>
      <c r="D44" t="inlineStr">
        <is>
          <t>omar@foundthespace.com</t>
        </is>
      </c>
      <c r="E44" t="inlineStr">
        <is>
          <t>Head Of Sales</t>
        </is>
      </c>
      <c r="F44">
        <f>HYPERLINK("https://app.apollo.io/#/contacts/6577f31037a15e01983442a8")</f>
        <v/>
      </c>
      <c r="G44" t="inlineStr">
        <is>
          <t>Found</t>
        </is>
      </c>
      <c r="H44">
        <f>HYPERLINK("https://app.apollo.io/#/accounts/6577f31037a15e01983442aa")</f>
        <v/>
      </c>
      <c r="I44">
        <f>HYPERLINK("http://www.foundthespace.com/")</f>
        <v/>
      </c>
      <c r="J44">
        <f>HYPERLINK("http://www.linkedin.com/company/foundthespace")</f>
        <v/>
      </c>
      <c r="K44">
        <f>HYPERLINK("Not Found")</f>
        <v/>
      </c>
      <c r="L44">
        <f>HYPERLINK("https://www.facebook.com/Foundthespace/")</f>
        <v/>
      </c>
      <c r="M44" t="inlineStr">
        <is>
          <t>United Kingdom</t>
        </is>
      </c>
      <c r="N44" t="inlineStr">
        <is>
          <t>7</t>
        </is>
      </c>
      <c r="O44" t="inlineStr">
        <is>
          <t>Commercial Real Estate</t>
        </is>
      </c>
      <c r="P44" t="inlineStr">
        <is>
          <t>flex space,flex space,commercial real estate,commercial real estate</t>
        </is>
      </c>
    </row>
    <row r="45">
      <c r="A45" t="inlineStr">
        <is>
          <t>6577f2cb37a15e011434a7ef</t>
        </is>
      </c>
      <c r="B45" t="inlineStr">
        <is>
          <t>Jean Howley</t>
        </is>
      </c>
      <c r="C45">
        <f>HYPERLINK("http://www.linkedin.com/in/jean-howley-fca-mba-220b9019")</f>
        <v/>
      </c>
      <c r="D45" t="inlineStr">
        <is>
          <t>jean.howley@colliers.com</t>
        </is>
      </c>
      <c r="E45" t="inlineStr">
        <is>
          <t>EMEA Chief Financial Officer</t>
        </is>
      </c>
      <c r="F45">
        <f>HYPERLINK("https://app.apollo.io/#/contacts/6577f2cb37a15e011434a7ef")</f>
        <v/>
      </c>
      <c r="G45" t="inlineStr">
        <is>
          <t>Colliers</t>
        </is>
      </c>
      <c r="H45">
        <f>HYPERLINK("https://app.apollo.io/#/accounts/6577bc4da3b9550198ec6817")</f>
        <v/>
      </c>
      <c r="I45">
        <f>HYPERLINK("http://www.colliers.com/")</f>
        <v/>
      </c>
      <c r="J45">
        <f>HYPERLINK("http://www.linkedin.com/company/colliers")</f>
        <v/>
      </c>
      <c r="K45">
        <f>HYPERLINK("https://twitter.com/Colliers")</f>
        <v/>
      </c>
      <c r="L45">
        <f>HYPERLINK("https://facebook.com/colliersinternational/")</f>
        <v/>
      </c>
      <c r="M45" t="inlineStr">
        <is>
          <t>London, United Kingdom</t>
        </is>
      </c>
      <c r="N45" t="inlineStr">
        <is>
          <t>25,000</t>
        </is>
      </c>
      <c r="O45" t="inlineStr">
        <is>
          <t>Commercial Real Estate</t>
        </is>
      </c>
      <c r="P45" t="inlineStr">
        <is>
          <t>brokerage &amp; agency,brokerage &amp; agency</t>
        </is>
      </c>
    </row>
    <row r="46">
      <c r="A46" t="inlineStr">
        <is>
          <t>6577f31d37a15e011434a99c</t>
        </is>
      </c>
      <c r="B46" t="inlineStr">
        <is>
          <t>Alan Cadman</t>
        </is>
      </c>
      <c r="C46">
        <f>HYPERLINK("http://www.linkedin.com/in/alan-cadman-50462413")</f>
        <v/>
      </c>
      <c r="D46" t="inlineStr">
        <is>
          <t>acadman@cadmangroup.net</t>
        </is>
      </c>
      <c r="E46" t="inlineStr">
        <is>
          <t>director / partner</t>
        </is>
      </c>
      <c r="F46">
        <f>HYPERLINK("https://app.apollo.io/#/contacts/6577f31d37a15e011434a99c")</f>
        <v/>
      </c>
      <c r="G46" t="inlineStr">
        <is>
          <t>Cadman Group</t>
        </is>
      </c>
      <c r="H46">
        <f>HYPERLINK("https://app.apollo.io/#/accounts/6577f31d37a15e011434a99e")</f>
        <v/>
      </c>
      <c r="I46">
        <f>HYPERLINK("http://www.cadmangroup.net/")</f>
        <v/>
      </c>
      <c r="J46">
        <f>HYPERLINK("http://www.linkedin.com/company/cadman-group.net")</f>
        <v/>
      </c>
      <c r="K46">
        <f>HYPERLINK("Not Found")</f>
        <v/>
      </c>
      <c r="L46">
        <f>HYPERLINK("https://facebook.com/cadmangroup.net/")</f>
        <v/>
      </c>
      <c r="M46" t="inlineStr">
        <is>
          <t>Stanway, United Kingdom</t>
        </is>
      </c>
      <c r="N46" t="inlineStr">
        <is>
          <t>16</t>
        </is>
      </c>
      <c r="O46" t="inlineStr">
        <is>
          <t>Commercial Real Estate</t>
        </is>
      </c>
      <c r="P46" t="inlineStr">
        <is>
          <t>property management,property management</t>
        </is>
      </c>
    </row>
    <row r="47">
      <c r="A47" t="inlineStr">
        <is>
          <t>6577fd81037fac0114456d58</t>
        </is>
      </c>
      <c r="B47" t="inlineStr">
        <is>
          <t>Erol Ezen</t>
        </is>
      </c>
      <c r="C47">
        <f>HYPERLINK("http://www.linkedin.com/in/erol-ezen-90366549")</f>
        <v/>
      </c>
      <c r="D47" t="inlineStr">
        <is>
          <t>ee@bcretail.co.uk</t>
        </is>
      </c>
      <c r="E47" t="inlineStr">
        <is>
          <t>director/partner</t>
        </is>
      </c>
      <c r="F47">
        <f>HYPERLINK("https://app.apollo.io/#/contacts/6577fd81037fac0114456d58")</f>
        <v/>
      </c>
      <c r="G47" t="inlineStr">
        <is>
          <t>BC Commercial Partners, LLC</t>
        </is>
      </c>
      <c r="H47">
        <f>HYPERLINK("https://app.apollo.io/#/accounts/6577fd81037fac0114456d59")</f>
        <v/>
      </c>
      <c r="I47">
        <f>HYPERLINK("http://www.bcretail.co.uk/")</f>
        <v/>
      </c>
      <c r="J47">
        <f>HYPERLINK("http://www.linkedin.com/company/bc-commercial-partners-llc")</f>
        <v/>
      </c>
      <c r="K47">
        <f>HYPERLINK("Not Found")</f>
        <v/>
      </c>
      <c r="L47">
        <f>HYPERLINK("Not Found")</f>
        <v/>
      </c>
      <c r="M47" t="inlineStr">
        <is>
          <t>Sutton, United Kingdom</t>
        </is>
      </c>
      <c r="N47" t="inlineStr">
        <is>
          <t>1</t>
        </is>
      </c>
      <c r="O47" t="inlineStr">
        <is>
          <t>Commercial Real Estate</t>
        </is>
      </c>
    </row>
    <row r="48">
      <c r="A48" t="inlineStr">
        <is>
          <t>6577f2c437a15e0198344227</t>
        </is>
      </c>
      <c r="B48" t="inlineStr">
        <is>
          <t>Edwin Groenendaal</t>
        </is>
      </c>
      <c r="C48">
        <f>HYPERLINK("http://www.linkedin.com/in/edwingroenendaal")</f>
        <v/>
      </c>
      <c r="D48" t="inlineStr">
        <is>
          <t>eg@harnessdata.ai</t>
        </is>
      </c>
      <c r="E48" t="inlineStr">
        <is>
          <t>CEO &amp; CTO</t>
        </is>
      </c>
      <c r="F48">
        <f>HYPERLINK("https://app.apollo.io/#/contacts/6577f2c437a15e0198344227")</f>
        <v/>
      </c>
      <c r="G48" t="inlineStr">
        <is>
          <t>HARNESS Data Intelligence</t>
        </is>
      </c>
      <c r="H48">
        <f>HYPERLINK("https://app.apollo.io/#/accounts/6577bc55a3b9550114ec6975")</f>
        <v/>
      </c>
      <c r="I48">
        <f>HYPERLINK("http://www.harnessdata.ai/")</f>
        <v/>
      </c>
      <c r="J48">
        <f>HYPERLINK("http://www.linkedin.com/company/harnessdata")</f>
        <v/>
      </c>
      <c r="K48">
        <f>HYPERLINK("https://twitter.com/harnessdata")</f>
        <v/>
      </c>
      <c r="L48">
        <f>HYPERLINK("https://www.facebook.com/harnessdata")</f>
        <v/>
      </c>
      <c r="M48" t="inlineStr">
        <is>
          <t>London, United Kingdom</t>
        </is>
      </c>
      <c r="N48" t="inlineStr">
        <is>
          <t>9</t>
        </is>
      </c>
      <c r="O48" t="inlineStr">
        <is>
          <t>Commercial Real Estate</t>
        </is>
      </c>
      <c r="P48" t="inlineStr">
        <is>
          <t>commercial property,commercial property</t>
        </is>
      </c>
    </row>
    <row r="49">
      <c r="A49" t="inlineStr">
        <is>
          <t>6577f2e937a15e011434a88b</t>
        </is>
      </c>
      <c r="B49" t="inlineStr">
        <is>
          <t>Lesley Bufton</t>
        </is>
      </c>
      <c r="C49">
        <f>HYPERLINK("http://www.linkedin.com/in/lesley-bufton-688561237")</f>
        <v/>
      </c>
      <c r="D49" t="inlineStr">
        <is>
          <t>lesley.bufton@derwentlondon.com</t>
        </is>
      </c>
      <c r="E49" t="inlineStr">
        <is>
          <t>Head of Marketing</t>
        </is>
      </c>
      <c r="F49">
        <f>HYPERLINK("https://app.apollo.io/#/contacts/6577f2e937a15e011434a88b")</f>
        <v/>
      </c>
      <c r="G49" t="inlineStr">
        <is>
          <t>Derwent London</t>
        </is>
      </c>
      <c r="H49">
        <f>HYPERLINK("https://app.apollo.io/#/accounts/6577f2e937a15e011434a88d")</f>
        <v/>
      </c>
      <c r="I49">
        <f>HYPERLINK("http://www.derwentlondon.com/")</f>
        <v/>
      </c>
      <c r="J49">
        <f>HYPERLINK("http://www.linkedin.com/company/derwentlondon")</f>
        <v/>
      </c>
      <c r="K49">
        <f>HYPERLINK("http://www.twitter.com/derwentlondon")</f>
        <v/>
      </c>
      <c r="L49">
        <f>HYPERLINK("http://www.facebook.com/derwentlondon")</f>
        <v/>
      </c>
      <c r="M49" t="inlineStr">
        <is>
          <t>West End, United Kingdom</t>
        </is>
      </c>
      <c r="N49" t="inlineStr">
        <is>
          <t>200</t>
        </is>
      </c>
      <c r="O49" t="inlineStr">
        <is>
          <t>Commercial Real Estate</t>
        </is>
      </c>
      <c r="P49" t="inlineStr">
        <is>
          <t>commercial real estate,commercial real estate</t>
        </is>
      </c>
    </row>
    <row r="50">
      <c r="A50" t="inlineStr">
        <is>
          <t>6577f2de37a15e011434a844</t>
        </is>
      </c>
      <c r="B50" t="inlineStr">
        <is>
          <t>Chris Langan</t>
        </is>
      </c>
      <c r="C50">
        <f>HYPERLINK("http://www.linkedin.com/in/chrislangan")</f>
        <v/>
      </c>
      <c r="D50" t="inlineStr">
        <is>
          <t>clangan@cobaltrecruitment.com</t>
        </is>
      </c>
      <c r="E50" t="inlineStr">
        <is>
          <t>Head of Marketing</t>
        </is>
      </c>
      <c r="F50">
        <f>HYPERLINK("https://app.apollo.io/#/contacts/6577f2de37a15e011434a844")</f>
        <v/>
      </c>
      <c r="G50" t="inlineStr">
        <is>
          <t>Cobalt Recruitment</t>
        </is>
      </c>
      <c r="H50">
        <f>HYPERLINK("https://app.apollo.io/#/accounts/6577f2de37a15e011434a846")</f>
        <v/>
      </c>
      <c r="I50">
        <f>HYPERLINK("http://www.cobaltrecruitment.co.uk/")</f>
        <v/>
      </c>
      <c r="J50">
        <f>HYPERLINK("http://www.linkedin.com/company/cobalt-recruitment")</f>
        <v/>
      </c>
      <c r="K50">
        <f>HYPERLINK("https://twitter.com/CobaltRecruit")</f>
        <v/>
      </c>
      <c r="L50">
        <f>HYPERLINK("https://www.facebook.com/cobaltrecruitment/")</f>
        <v/>
      </c>
      <c r="M50" t="inlineStr">
        <is>
          <t>London, United Kingdom</t>
        </is>
      </c>
      <c r="N50" t="inlineStr">
        <is>
          <t>130</t>
        </is>
      </c>
      <c r="O50" t="inlineStr">
        <is>
          <t>Commercial Real Estate</t>
        </is>
      </c>
      <c r="P50" t="inlineStr">
        <is>
          <t>accounting,accounting,real estate,real estate</t>
        </is>
      </c>
    </row>
    <row r="51">
      <c r="A51" t="inlineStr">
        <is>
          <t>6577f2d237a15e011434a815</t>
        </is>
      </c>
      <c r="B51" t="inlineStr">
        <is>
          <t>Anna Bradford</t>
        </is>
      </c>
      <c r="C51">
        <f>HYPERLINK("http://www.linkedin.com/in/anna-bradford-49126246")</f>
        <v/>
      </c>
      <c r="D51" t="inlineStr">
        <is>
          <t>abradford@landmarkspace.co.uk</t>
        </is>
      </c>
      <c r="E51" t="inlineStr">
        <is>
          <t>Head of Marketing</t>
        </is>
      </c>
      <c r="F51">
        <f>HYPERLINK("https://app.apollo.io/#/contacts/6577f2d237a15e011434a815")</f>
        <v/>
      </c>
      <c r="G51" t="inlineStr">
        <is>
          <t>Landmark</t>
        </is>
      </c>
      <c r="H51">
        <f>HYPERLINK("https://app.apollo.io/#/accounts/6577bc53a3b95505c3ec66f7")</f>
        <v/>
      </c>
      <c r="I51">
        <f>HYPERLINK("http://www.landmarkspace.co.uk/")</f>
        <v/>
      </c>
      <c r="J51">
        <f>HYPERLINK("http://www.linkedin.com/company/landmarkspace")</f>
        <v/>
      </c>
      <c r="K51">
        <f>HYPERLINK("https://twitter.com/landmark_space")</f>
        <v/>
      </c>
      <c r="L51">
        <f>HYPERLINK("https://www.facebook.com/landmarkspace")</f>
        <v/>
      </c>
      <c r="M51" t="inlineStr">
        <is>
          <t>London, United Kingdom</t>
        </is>
      </c>
      <c r="N51" t="inlineStr">
        <is>
          <t>460</t>
        </is>
      </c>
      <c r="O51" t="inlineStr">
        <is>
          <t>Commercial Real Estate</t>
        </is>
      </c>
      <c r="P51" t="inlineStr">
        <is>
          <t>virtual office,virtual office,meeting rooms,meeting rooms</t>
        </is>
      </c>
    </row>
    <row r="52">
      <c r="A52" t="inlineStr">
        <is>
          <t>6577f2d837a15e011434a82d</t>
        </is>
      </c>
      <c r="B52" t="inlineStr">
        <is>
          <t>Shrutika Tekawade</t>
        </is>
      </c>
      <c r="C52">
        <f>HYPERLINK("http://www.linkedin.com/in/shrutikatekawade")</f>
        <v/>
      </c>
      <c r="D52" t="inlineStr">
        <is>
          <t>stekawade@vailwilliams.com</t>
        </is>
      </c>
      <c r="E52" t="inlineStr">
        <is>
          <t>Head Of Marketing</t>
        </is>
      </c>
      <c r="F52">
        <f>HYPERLINK("https://app.apollo.io/#/contacts/6577f2d837a15e011434a82d")</f>
        <v/>
      </c>
      <c r="G52" t="inlineStr">
        <is>
          <t>Vail Williams</t>
        </is>
      </c>
      <c r="H52">
        <f>HYPERLINK("https://app.apollo.io/#/accounts/6577f2d837a15e011434a82f")</f>
        <v/>
      </c>
      <c r="I52">
        <f>HYPERLINK("http://www.vailwilliams.com/")</f>
        <v/>
      </c>
      <c r="J52">
        <f>HYPERLINK("http://www.linkedin.com/company/vail-williams")</f>
        <v/>
      </c>
      <c r="K52">
        <f>HYPERLINK("https://twitter.com/vailwilliams")</f>
        <v/>
      </c>
      <c r="L52">
        <f>HYPERLINK("https://www.facebook.com/vailwilliams")</f>
        <v/>
      </c>
      <c r="M52" t="inlineStr">
        <is>
          <t>London, United Kingdom</t>
        </is>
      </c>
      <c r="N52" t="inlineStr">
        <is>
          <t>200</t>
        </is>
      </c>
      <c r="O52" t="inlineStr">
        <is>
          <t>Commercial Real Estate</t>
        </is>
      </c>
      <c r="P52" t="inlineStr">
        <is>
          <t>real estate,real estate,real estate agents,real estate agents</t>
        </is>
      </c>
    </row>
    <row r="53">
      <c r="A53" t="inlineStr">
        <is>
          <t>54a28aca7468693a7e7dc42a</t>
        </is>
      </c>
      <c r="B53" t="inlineStr">
        <is>
          <t>Richard Peace</t>
        </is>
      </c>
      <c r="C53">
        <f>HYPERLINK("http://www.linkedin.com/in/richard-peace-9a140819")</f>
        <v/>
      </c>
      <c r="D53" t="inlineStr">
        <is>
          <t>richard.peace@kimmre.com</t>
        </is>
      </c>
      <c r="E53" t="inlineStr">
        <is>
          <t>Partner</t>
        </is>
      </c>
      <c r="F53">
        <f>HYPERLINK("https://app.apollo.io/#/people/54a28aca7468693a7e7dc42a")</f>
        <v/>
      </c>
      <c r="G53" t="inlineStr">
        <is>
          <t>Kimmre</t>
        </is>
      </c>
      <c r="H53">
        <f>HYPERLINK("https://app.apollo.io/#/accounts/6577f42037a15e022d340bf9")</f>
        <v/>
      </c>
      <c r="I53">
        <f>HYPERLINK("http://www.kimmre.com/")</f>
        <v/>
      </c>
      <c r="J53">
        <f>HYPERLINK("http://www.linkedin.com/company/kimmre")</f>
        <v/>
      </c>
      <c r="K53">
        <f>HYPERLINK("Not Found")</f>
        <v/>
      </c>
      <c r="L53">
        <f>HYPERLINK("Not Found")</f>
        <v/>
      </c>
      <c r="M53" t="inlineStr">
        <is>
          <t>London, United Kingdom</t>
        </is>
      </c>
      <c r="N53" t="inlineStr">
        <is>
          <t>18</t>
        </is>
      </c>
      <c r="O53" t="inlineStr">
        <is>
          <t>Commercial Real Estate</t>
        </is>
      </c>
      <c r="P53" t="inlineStr">
        <is>
          <t>commercial real estate,commercial real estate</t>
        </is>
      </c>
    </row>
    <row r="54">
      <c r="A54" t="inlineStr">
        <is>
          <t>5abd31e7a6da98403a866beb</t>
        </is>
      </c>
      <c r="B54" t="inlineStr">
        <is>
          <t>John Murphy</t>
        </is>
      </c>
      <c r="C54">
        <f>HYPERLINK("http://www.linkedin.com/in/john-murphy-a687ab21")</f>
        <v/>
      </c>
      <c r="D54" t="inlineStr">
        <is>
          <t>john@boxcleverconsulting.co.uk</t>
        </is>
      </c>
      <c r="E54" t="inlineStr">
        <is>
          <t>Partner</t>
        </is>
      </c>
      <c r="F54">
        <f>HYPERLINK("https://app.apollo.io/#/people/5abd31e7a6da98403a866beb")</f>
        <v/>
      </c>
      <c r="G54" t="inlineStr">
        <is>
          <t>Box Clever Consulting</t>
        </is>
      </c>
      <c r="H54">
        <f>HYPERLINK("https://app.apollo.io/#/organizations/5a9e7e79a6da98d9356c8a68")</f>
        <v/>
      </c>
      <c r="I54">
        <f>HYPERLINK("http://www.boxcleverconsulting.co.uk/")</f>
        <v/>
      </c>
      <c r="J54">
        <f>HYPERLINK("http://www.linkedin.com/company/box-clever-consulting-llp")</f>
        <v/>
      </c>
      <c r="K54">
        <f>HYPERLINK("Not Found")</f>
        <v/>
      </c>
      <c r="L54">
        <f>HYPERLINK("Not Found")</f>
        <v/>
      </c>
      <c r="M54" t="inlineStr">
        <is>
          <t>Leeds, United Kingdom</t>
        </is>
      </c>
      <c r="N54" t="inlineStr">
        <is>
          <t>3</t>
        </is>
      </c>
      <c r="O54" t="inlineStr">
        <is>
          <t>Commercial Real Estate</t>
        </is>
      </c>
      <c r="P54" t="inlineStr">
        <is>
          <t>project management,project management</t>
        </is>
      </c>
    </row>
    <row r="55">
      <c r="A55" t="inlineStr">
        <is>
          <t>5d60bcb4a3ae61eb473839c5</t>
        </is>
      </c>
      <c r="B55" t="inlineStr">
        <is>
          <t>Tony Harris</t>
        </is>
      </c>
      <c r="C55">
        <f>HYPERLINK("http://www.linkedin.com/in/tony-harris-6560402b")</f>
        <v/>
      </c>
      <c r="D55" t="inlineStr">
        <is>
          <t>aharris@nobleharris.co.uk</t>
        </is>
      </c>
      <c r="E55" t="inlineStr">
        <is>
          <t>Partner</t>
        </is>
      </c>
      <c r="F55">
        <f>HYPERLINK("https://app.apollo.io/#/people/5d60bcb4a3ae61eb473839c5")</f>
        <v/>
      </c>
      <c r="G55" t="inlineStr">
        <is>
          <t>Noble Harris</t>
        </is>
      </c>
      <c r="H55">
        <f>HYPERLINK("https://app.apollo.io/#/accounts/6577fdc0037fac0114456f2d")</f>
        <v/>
      </c>
      <c r="I55">
        <f>HYPERLINK("http://www.nobleharris.co.uk/")</f>
        <v/>
      </c>
      <c r="J55">
        <f>HYPERLINK("http://www.linkedin.com/company/the-noble-harris-partnership")</f>
        <v/>
      </c>
      <c r="K55">
        <f>HYPERLINK("Not Found")</f>
        <v/>
      </c>
      <c r="L55">
        <f>HYPERLINK("Not Found")</f>
        <v/>
      </c>
      <c r="M55" t="inlineStr">
        <is>
          <t>London, United Kingdom</t>
        </is>
      </c>
      <c r="N55" t="inlineStr">
        <is>
          <t>7</t>
        </is>
      </c>
      <c r="O55" t="inlineStr">
        <is>
          <t>Commercial Real Estate</t>
        </is>
      </c>
      <c r="P55" t="inlineStr">
        <is>
          <t>rent reviews,rent reviews,commercial property management,commercial property management</t>
        </is>
      </c>
    </row>
    <row r="56">
      <c r="A56" t="inlineStr">
        <is>
          <t>57de55f0a6da987b0d8f2a47</t>
        </is>
      </c>
      <c r="B56" t="inlineStr">
        <is>
          <t>Maurice Bechara</t>
        </is>
      </c>
      <c r="C56">
        <f>HYPERLINK("http://www.linkedin.com/in/maurice-bechara-43432914")</f>
        <v/>
      </c>
      <c r="D56" t="inlineStr">
        <is>
          <t>maurice.b@infinityproperties.com.cy</t>
        </is>
      </c>
      <c r="E56" t="inlineStr">
        <is>
          <t>Co-Founder</t>
        </is>
      </c>
      <c r="F56">
        <f>HYPERLINK("https://app.apollo.io/#/people/57de55f0a6da987b0d8f2a47")</f>
        <v/>
      </c>
      <c r="G56" t="inlineStr">
        <is>
          <t>Infinity Property Developers</t>
        </is>
      </c>
      <c r="H56">
        <f>HYPERLINK("https://app.apollo.io/#/organizations/5e57e82f4a6b110001eabcb4")</f>
        <v/>
      </c>
      <c r="I56">
        <f>HYPERLINK("http://www.infinityproperties.com.cy/")</f>
        <v/>
      </c>
      <c r="J56">
        <f>HYPERLINK("http://www.linkedin.com/company/infinity-property-developers")</f>
        <v/>
      </c>
      <c r="K56">
        <f>HYPERLINK("Not Found")</f>
        <v/>
      </c>
      <c r="L56">
        <f>HYPERLINK("Not Found")</f>
        <v/>
      </c>
      <c r="M56" t="inlineStr">
        <is>
          <t>London, United Kingdom</t>
        </is>
      </c>
      <c r="N56" t="inlineStr">
        <is>
          <t>3</t>
        </is>
      </c>
      <c r="O56" t="inlineStr">
        <is>
          <t>Commercial Real Estate</t>
        </is>
      </c>
      <c r="P56" t="inlineStr">
        <is>
          <t>commercial real estate,commercial real estate</t>
        </is>
      </c>
    </row>
    <row r="57">
      <c r="A57" t="inlineStr">
        <is>
          <t>60ddd28e0629c70001ff4dfd</t>
        </is>
      </c>
      <c r="B57" t="inlineStr">
        <is>
          <t>Sue Flatto</t>
        </is>
      </c>
      <c r="C57">
        <f>HYPERLINK("http://www.linkedin.com/in/sue-flatto-0b0b1826")</f>
        <v/>
      </c>
      <c r="D57" t="inlineStr">
        <is>
          <t>sue.flatto@real-service.co.uk</t>
        </is>
      </c>
      <c r="E57" t="inlineStr">
        <is>
          <t>Co-Founder</t>
        </is>
      </c>
      <c r="F57">
        <f>HYPERLINK("https://app.apollo.io/#/people/60ddd28e0629c70001ff4dfd")</f>
        <v/>
      </c>
      <c r="G57" t="inlineStr">
        <is>
          <t>Experience Makers</t>
        </is>
      </c>
      <c r="H57">
        <f>HYPERLINK("https://app.apollo.io/#/organizations/5da53904df8d1e000105c496")</f>
        <v/>
      </c>
      <c r="I57">
        <f>HYPERLINK("http://www.experiencemakers.com/")</f>
        <v/>
      </c>
      <c r="J57">
        <f>HYPERLINK("http://www.linkedin.com/company/experiencemakers")</f>
        <v/>
      </c>
      <c r="K57">
        <f>HYPERLINK("Not Found")</f>
        <v/>
      </c>
      <c r="L57">
        <f>HYPERLINK("Not Found")</f>
        <v/>
      </c>
      <c r="M57" t="inlineStr">
        <is>
          <t>London, United Kingdom</t>
        </is>
      </c>
      <c r="N57" t="inlineStr">
        <is>
          <t>2</t>
        </is>
      </c>
      <c r="O57" t="inlineStr">
        <is>
          <t>Commercial Real Estate</t>
        </is>
      </c>
      <c r="P57" t="inlineStr">
        <is>
          <t>customer experience,customer experience</t>
        </is>
      </c>
    </row>
    <row r="58">
      <c r="A58" t="inlineStr">
        <is>
          <t>6577f30337a15e022d3409d2</t>
        </is>
      </c>
      <c r="B58" t="inlineStr">
        <is>
          <t>Stephen Shorter</t>
        </is>
      </c>
      <c r="C58">
        <f>HYPERLINK("http://www.linkedin.com/in/stephen-shorter-765a2a34")</f>
        <v/>
      </c>
      <c r="D58" t="inlineStr">
        <is>
          <t>sshorter@cobaltrecruitment.com</t>
        </is>
      </c>
      <c r="E58" t="inlineStr">
        <is>
          <t>Group CEO</t>
        </is>
      </c>
      <c r="F58">
        <f>HYPERLINK("https://app.apollo.io/#/contacts/6577f30337a15e022d3409d2")</f>
        <v/>
      </c>
      <c r="G58" t="inlineStr">
        <is>
          <t>Cobalt Recruitment</t>
        </is>
      </c>
      <c r="H58">
        <f>HYPERLINK("https://app.apollo.io/#/accounts/6577f2de37a15e011434a846")</f>
        <v/>
      </c>
      <c r="I58">
        <f>HYPERLINK("http://www.cobaltrecruitment.co.uk/")</f>
        <v/>
      </c>
      <c r="J58">
        <f>HYPERLINK("http://www.linkedin.com/company/cobalt-recruitment")</f>
        <v/>
      </c>
      <c r="K58">
        <f>HYPERLINK("https://twitter.com/CobaltRecruit")</f>
        <v/>
      </c>
      <c r="L58">
        <f>HYPERLINK("https://www.facebook.com/cobaltrecruitment/")</f>
        <v/>
      </c>
      <c r="M58" t="inlineStr">
        <is>
          <t>Stromness, United Kingdom</t>
        </is>
      </c>
      <c r="N58" t="inlineStr">
        <is>
          <t>130</t>
        </is>
      </c>
      <c r="O58" t="inlineStr">
        <is>
          <t>Commercial Real Estate</t>
        </is>
      </c>
      <c r="P58" t="inlineStr">
        <is>
          <t>accounting,accounting,real estate,real estate</t>
        </is>
      </c>
    </row>
    <row r="59">
      <c r="A59" t="inlineStr">
        <is>
          <t>5ff9e4a558cb1f000155c354</t>
        </is>
      </c>
      <c r="B59" t="inlineStr">
        <is>
          <t>Tomal Syed-Aguirre</t>
        </is>
      </c>
      <c r="C59">
        <f>HYPERLINK("http://www.linkedin.com/in/tomal-syed-aguirre-a1507860")</f>
        <v/>
      </c>
      <c r="D59" t="inlineStr">
        <is>
          <t>tomal@tsaspaces.com</t>
        </is>
      </c>
      <c r="E59" t="inlineStr">
        <is>
          <t>Founder</t>
        </is>
      </c>
      <c r="F59">
        <f>HYPERLINK("https://app.apollo.io/#/people/5ff9e4a558cb1f000155c354")</f>
        <v/>
      </c>
      <c r="G59" t="inlineStr">
        <is>
          <t>Soul Spaces</t>
        </is>
      </c>
      <c r="H59">
        <f>HYPERLINK("https://app.apollo.io/#/organizations/5f4b4e8e4ec730000161310a")</f>
        <v/>
      </c>
      <c r="I59">
        <f>HYPERLINK("http://www.soulspaces.london/")</f>
        <v/>
      </c>
      <c r="J59">
        <f>HYPERLINK("http://www.linkedin.com/company/soulspaces")</f>
        <v/>
      </c>
      <c r="K59">
        <f>HYPERLINK("https://twitter.com/soulspaces_uk")</f>
        <v/>
      </c>
      <c r="L59">
        <f>HYPERLINK("Not Found")</f>
        <v/>
      </c>
      <c r="M59" t="inlineStr">
        <is>
          <t>London, United Kingdom</t>
        </is>
      </c>
      <c r="N59" t="inlineStr">
        <is>
          <t>10</t>
        </is>
      </c>
      <c r="O59" t="inlineStr">
        <is>
          <t>Commercial Real Estate</t>
        </is>
      </c>
      <c r="P59" t="inlineStr">
        <is>
          <t>design &amp; build,design &amp; build,office space,office space</t>
        </is>
      </c>
    </row>
    <row r="60">
      <c r="A60" t="inlineStr">
        <is>
          <t>60d2cd9cb5ea10000136abbe</t>
        </is>
      </c>
      <c r="B60" t="inlineStr">
        <is>
          <t>John Collis</t>
        </is>
      </c>
      <c r="C60">
        <f>HYPERLINK("http://www.linkedin.com/in/john-collis-90a38a79")</f>
        <v/>
      </c>
      <c r="D60" t="inlineStr">
        <is>
          <t>john.collis@partners-cap.com</t>
        </is>
      </c>
      <c r="E60" t="inlineStr">
        <is>
          <t>Partner</t>
        </is>
      </c>
      <c r="F60">
        <f>HYPERLINK("https://app.apollo.io/#/people/60d2cd9cb5ea10000136abbe")</f>
        <v/>
      </c>
      <c r="G60" t="inlineStr">
        <is>
          <t>Partners Capital</t>
        </is>
      </c>
      <c r="H60">
        <f>HYPERLINK("https://app.apollo.io/#/organizations/6048f9d30ec5d8000137b532")</f>
        <v/>
      </c>
      <c r="I60">
        <f>HYPERLINK("Not Found")</f>
        <v/>
      </c>
      <c r="J60">
        <f>HYPERLINK("http://www.linkedin.com/company/partnerscapital")</f>
        <v/>
      </c>
      <c r="K60">
        <f>HYPERLINK("Not Found")</f>
        <v/>
      </c>
      <c r="L60">
        <f>HYPERLINK("Not Found")</f>
        <v/>
      </c>
      <c r="M60" t="inlineStr">
        <is>
          <t>United Kingdom</t>
        </is>
      </c>
      <c r="N60" t="inlineStr">
        <is>
          <t>10</t>
        </is>
      </c>
      <c r="O60" t="inlineStr">
        <is>
          <t>Commercial Real Estate</t>
        </is>
      </c>
    </row>
    <row r="61">
      <c r="A61" t="inlineStr">
        <is>
          <t>5ddbb4f2a342440001d09fd9</t>
        </is>
      </c>
      <c r="B61" t="inlineStr">
        <is>
          <t>Tom Godfrey</t>
        </is>
      </c>
      <c r="C61">
        <f>HYPERLINK("http://www.linkedin.com/in/tom-godfrey-a63542137")</f>
        <v/>
      </c>
      <c r="D61" t="inlineStr">
        <is>
          <t>tom@betterspaces.co.uk</t>
        </is>
      </c>
      <c r="E61" t="inlineStr">
        <is>
          <t>Founder</t>
        </is>
      </c>
      <c r="F61">
        <f>HYPERLINK("https://app.apollo.io/#/people/5ddbb4f2a342440001d09fd9")</f>
        <v/>
      </c>
      <c r="G61" t="inlineStr">
        <is>
          <t>BetterSpaces</t>
        </is>
      </c>
      <c r="H61">
        <f>HYPERLINK("https://app.apollo.io/#/organizations/559205a173696418fbbc1f00")</f>
        <v/>
      </c>
      <c r="I61">
        <f>HYPERLINK("http://www.betterspaces.com/")</f>
        <v/>
      </c>
      <c r="J61">
        <f>HYPERLINK("http://www.linkedin.com/company/betterspaces")</f>
        <v/>
      </c>
      <c r="K61">
        <f>HYPERLINK("Not Found")</f>
        <v/>
      </c>
      <c r="L61">
        <f>HYPERLINK("https://www.facebook.com/MakeBetterSpaces/")</f>
        <v/>
      </c>
      <c r="M61" t="inlineStr">
        <is>
          <t>Prestwood, United Kingdom</t>
        </is>
      </c>
      <c r="N61" t="inlineStr">
        <is>
          <t>12</t>
        </is>
      </c>
      <c r="O61" t="inlineStr">
        <is>
          <t>Commercial Real Estate</t>
        </is>
      </c>
      <c r="P61" t="inlineStr">
        <is>
          <t>programming,programming,wellbeing,wellbeing</t>
        </is>
      </c>
    </row>
    <row r="62">
      <c r="A62" t="inlineStr">
        <is>
          <t>54a304fd7468693a7e708d4e</t>
        </is>
      </c>
      <c r="B62" t="inlineStr">
        <is>
          <t>Mark Loveday</t>
        </is>
      </c>
      <c r="C62">
        <f>HYPERLINK("http://www.linkedin.com/in/mark-loveday-ba463a5")</f>
        <v/>
      </c>
      <c r="D62" t="inlineStr">
        <is>
          <t>mark@amm-ltd.co.uk</t>
        </is>
      </c>
      <c r="E62" t="inlineStr">
        <is>
          <t>Owner</t>
        </is>
      </c>
      <c r="F62">
        <f>HYPERLINK("https://app.apollo.io/#/people/54a304fd7468693a7e708d4e")</f>
        <v/>
      </c>
      <c r="G62" t="inlineStr">
        <is>
          <t>AMM</t>
        </is>
      </c>
      <c r="H62">
        <f>HYPERLINK("https://app.apollo.io/#/organizations/55922e0c73696418930cb300")</f>
        <v/>
      </c>
      <c r="I62">
        <f>HYPERLINK("http://www.amm-ltd.co.uk/")</f>
        <v/>
      </c>
      <c r="J62">
        <f>HYPERLINK("http://www.linkedin.com/company/amm")</f>
        <v/>
      </c>
      <c r="K62">
        <f>HYPERLINK("Not Found")</f>
        <v/>
      </c>
      <c r="L62">
        <f>HYPERLINK("Not Found")</f>
        <v/>
      </c>
      <c r="M62" t="inlineStr">
        <is>
          <t>Slough, United Kingdom</t>
        </is>
      </c>
      <c r="N62" t="inlineStr">
        <is>
          <t>8</t>
        </is>
      </c>
      <c r="O62" t="inlineStr">
        <is>
          <t>Commercial Real Estate</t>
        </is>
      </c>
      <c r="P62" t="inlineStr">
        <is>
          <t>shopping centre asset management,shopping centre asset management</t>
        </is>
      </c>
    </row>
    <row r="63">
      <c r="A63" t="inlineStr">
        <is>
          <t>5b3828e5a6da980c593e37ec</t>
        </is>
      </c>
      <c r="B63" t="inlineStr">
        <is>
          <t>Brendan Joyce</t>
        </is>
      </c>
      <c r="C63">
        <f>HYPERLINK("http://www.linkedin.com/in/brendan-joyce-65381219")</f>
        <v/>
      </c>
      <c r="D63" t="inlineStr">
        <is>
          <t>brendan@joyce9800.fsnet.co.uk</t>
        </is>
      </c>
      <c r="E63" t="inlineStr">
        <is>
          <t>Partner</t>
        </is>
      </c>
      <c r="F63">
        <f>HYPERLINK("https://app.apollo.io/#/people/5b3828e5a6da980c593e37ec")</f>
        <v/>
      </c>
      <c r="G63" t="inlineStr">
        <is>
          <t>DohertyBaines</t>
        </is>
      </c>
      <c r="H63">
        <f>HYPERLINK("https://app.apollo.io/#/accounts/6577f3e537a15e011434ae08")</f>
        <v/>
      </c>
      <c r="I63">
        <f>HYPERLINK("http://www.dohertybaines.com/")</f>
        <v/>
      </c>
      <c r="J63">
        <f>HYPERLINK("http://www.linkedin.com/company/dohertybaines")</f>
        <v/>
      </c>
      <c r="K63">
        <f>HYPERLINK("https://twitter.com/dohertybaines")</f>
        <v/>
      </c>
      <c r="L63">
        <f>HYPERLINK("Not Found")</f>
        <v/>
      </c>
      <c r="M63" t="inlineStr">
        <is>
          <t>United Kingdom</t>
        </is>
      </c>
      <c r="N63" t="inlineStr">
        <is>
          <t>15</t>
        </is>
      </c>
      <c r="O63" t="inlineStr">
        <is>
          <t>Commercial Real Estate</t>
        </is>
      </c>
      <c r="P63" t="inlineStr">
        <is>
          <t>real estate advisory,real estate advisory</t>
        </is>
      </c>
    </row>
    <row r="64">
      <c r="A64" t="inlineStr">
        <is>
          <t>5c335f3b80f93e63c925bf09</t>
        </is>
      </c>
      <c r="B64" t="inlineStr">
        <is>
          <t>Emmajane Albertini</t>
        </is>
      </c>
      <c r="C64">
        <f>HYPERLINK("http://www.linkedin.com/in/emmajanealbertini")</f>
        <v/>
      </c>
      <c r="D64" t="inlineStr">
        <is>
          <t>emmajane@homeofoffices.co.uk</t>
        </is>
      </c>
      <c r="E64" t="inlineStr">
        <is>
          <t>Founder</t>
        </is>
      </c>
      <c r="F64">
        <f>HYPERLINK("https://app.apollo.io/#/people/5c335f3b80f93e63c925bf09")</f>
        <v/>
      </c>
      <c r="G64" t="inlineStr">
        <is>
          <t>Home of Offices</t>
        </is>
      </c>
      <c r="H64">
        <f>HYPERLINK("https://app.apollo.io/#/organizations/5b846898f874f730c3164ad8")</f>
        <v/>
      </c>
      <c r="I64">
        <f>HYPERLINK("http://www.homeofoffices.co.uk/")</f>
        <v/>
      </c>
      <c r="J64">
        <f>HYPERLINK("http://www.linkedin.com/company/home-of-offices")</f>
        <v/>
      </c>
      <c r="K64">
        <f>HYPERLINK("https://twitter.com/homeofoffices")</f>
        <v/>
      </c>
      <c r="L64">
        <f>HYPERLINK("https://www.facebook.com/homeofoffices/")</f>
        <v/>
      </c>
      <c r="M64" t="inlineStr">
        <is>
          <t>London, United Kingdom</t>
        </is>
      </c>
      <c r="N64" t="inlineStr">
        <is>
          <t>5</t>
        </is>
      </c>
      <c r="O64" t="inlineStr">
        <is>
          <t>Commercial Real Estate</t>
        </is>
      </c>
    </row>
    <row r="65">
      <c r="A65" t="inlineStr">
        <is>
          <t>54a2c2b37468693cddc3d63a</t>
        </is>
      </c>
      <c r="B65" t="inlineStr">
        <is>
          <t>Rupert Cherryman</t>
        </is>
      </c>
      <c r="C65">
        <f>HYPERLINK("http://www.linkedin.com/in/rupert-cherryman-0b511117")</f>
        <v/>
      </c>
      <c r="D65" t="inlineStr">
        <is>
          <t>rupert@cherryman.co.uk</t>
        </is>
      </c>
      <c r="E65" t="inlineStr">
        <is>
          <t>Owner</t>
        </is>
      </c>
      <c r="F65">
        <f>HYPERLINK("https://app.apollo.io/#/people/54a2c2b37468693cddc3d63a")</f>
        <v/>
      </c>
      <c r="G65" t="inlineStr">
        <is>
          <t>Cherryman</t>
        </is>
      </c>
      <c r="H65">
        <f>HYPERLINK("https://app.apollo.io/#/organizations/54a13bf469702d2bfdbdac01")</f>
        <v/>
      </c>
      <c r="I65">
        <f>HYPERLINK("http://www.cherryman.co.uk/")</f>
        <v/>
      </c>
      <c r="J65">
        <f>HYPERLINK("http://www.linkedin.com/company/cherryman")</f>
        <v/>
      </c>
      <c r="K65">
        <f>HYPERLINK("https://twitter.com/cherrymanltd")</f>
        <v/>
      </c>
      <c r="L65">
        <f>HYPERLINK("Not Found")</f>
        <v/>
      </c>
      <c r="M65" t="inlineStr">
        <is>
          <t>London, United Kingdom</t>
        </is>
      </c>
      <c r="N65" t="inlineStr">
        <is>
          <t>3</t>
        </is>
      </c>
      <c r="O65" t="inlineStr">
        <is>
          <t>Commercial Real Estate</t>
        </is>
      </c>
      <c r="P65" t="inlineStr">
        <is>
          <t>commercial real estate,commercial real estate</t>
        </is>
      </c>
    </row>
    <row r="66">
      <c r="A66" t="inlineStr">
        <is>
          <t>557095d57369646613716000</t>
        </is>
      </c>
      <c r="B66" t="inlineStr">
        <is>
          <t>Nizam Uddin</t>
        </is>
      </c>
      <c r="C66">
        <f>HYPERLINK("http://www.linkedin.com/in/nizam-uddin-54515417")</f>
        <v/>
      </c>
      <c r="D66" t="inlineStr">
        <is>
          <t>nizam@capitalsquare.co.uk</t>
        </is>
      </c>
      <c r="E66" t="inlineStr">
        <is>
          <t>Owner</t>
        </is>
      </c>
      <c r="F66">
        <f>HYPERLINK("https://app.apollo.io/#/people/557095d57369646613716000")</f>
        <v/>
      </c>
      <c r="G66" t="inlineStr">
        <is>
          <t>Capital Square</t>
        </is>
      </c>
      <c r="H66">
        <f>HYPERLINK("https://app.apollo.io/#/organizations/5d0a62afa3ae618741aadd79")</f>
        <v/>
      </c>
      <c r="I66">
        <f>HYPERLINK("http://www.capitalsq.com/")</f>
        <v/>
      </c>
      <c r="J66">
        <f>HYPERLINK("http://www.linkedin.com/company/capitalsq")</f>
        <v/>
      </c>
      <c r="K66">
        <f>HYPERLINK("Not Found")</f>
        <v/>
      </c>
      <c r="L66">
        <f>HYPERLINK("https://www.facebook.com/capitalsq")</f>
        <v/>
      </c>
      <c r="M66" t="inlineStr">
        <is>
          <t>London, United Kingdom</t>
        </is>
      </c>
      <c r="N66" t="inlineStr">
        <is>
          <t>150</t>
        </is>
      </c>
      <c r="O66" t="inlineStr">
        <is>
          <t>Commercial Real Estate</t>
        </is>
      </c>
      <c r="P66" t="inlineStr">
        <is>
          <t>section 1031 exchange,section 1031 exchange</t>
        </is>
      </c>
    </row>
    <row r="67">
      <c r="A67" t="inlineStr">
        <is>
          <t>6577fd60037fac0114456c42</t>
        </is>
      </c>
      <c r="B67" t="inlineStr">
        <is>
          <t>Sau-Wan Lai</t>
        </is>
      </c>
      <c r="C67">
        <f>HYPERLINK("http://www.linkedin.com/in/sau-wan-lai")</f>
        <v/>
      </c>
      <c r="D67" t="inlineStr">
        <is>
          <t>slai@wlsurveyors.co.uk</t>
        </is>
      </c>
      <c r="E67" t="inlineStr">
        <is>
          <t>Co-Founder &amp; Director</t>
        </is>
      </c>
      <c r="F67">
        <f>HYPERLINK("https://app.apollo.io/#/contacts/6577fd60037fac0114456c42")</f>
        <v/>
      </c>
      <c r="G67" t="inlineStr">
        <is>
          <t>Wheeler &amp; Lai Chartered Surveyors</t>
        </is>
      </c>
      <c r="H67">
        <f>HYPERLINK("https://app.apollo.io/#/accounts/6577fd60037fac0114456c44")</f>
        <v/>
      </c>
      <c r="I67">
        <f>HYPERLINK("http://www.wlsurveyors.co.uk/")</f>
        <v/>
      </c>
      <c r="J67">
        <f>HYPERLINK("http://www.linkedin.com/company/wheeler-and-lai-chartered-surveyors")</f>
        <v/>
      </c>
      <c r="K67">
        <f>HYPERLINK("https://twitter.com/WLSurveyors")</f>
        <v/>
      </c>
      <c r="L67">
        <f>HYPERLINK("https://www.facebook.com/WLSurveyors/")</f>
        <v/>
      </c>
      <c r="M67" t="inlineStr">
        <is>
          <t>Waterlooville, United Kingdom</t>
        </is>
      </c>
      <c r="N67" t="inlineStr">
        <is>
          <t>2</t>
        </is>
      </c>
      <c r="O67" t="inlineStr">
        <is>
          <t>Commercial Real Estate</t>
        </is>
      </c>
      <c r="P67" t="inlineStr">
        <is>
          <t>valuations,valuations,property management,property management</t>
        </is>
      </c>
    </row>
    <row r="68">
      <c r="A68" t="inlineStr">
        <is>
          <t>6577fd7c037fac0114456d37</t>
        </is>
      </c>
      <c r="B68" t="inlineStr">
        <is>
          <t>Nick Smith</t>
        </is>
      </c>
      <c r="C68">
        <f>HYPERLINK("http://www.linkedin.com/in/nick-smith-37233b1a")</f>
        <v/>
      </c>
      <c r="D68" t="inlineStr">
        <is>
          <t>nick@weare-resolve.com</t>
        </is>
      </c>
      <c r="E68" t="inlineStr">
        <is>
          <t>Co-Founder &amp; Director</t>
        </is>
      </c>
      <c r="F68">
        <f>HYPERLINK("https://app.apollo.io/#/contacts/6577fd7c037fac0114456d37")</f>
        <v/>
      </c>
      <c r="G68" t="inlineStr">
        <is>
          <t>Resolve</t>
        </is>
      </c>
      <c r="H68">
        <f>HYPERLINK("https://app.apollo.io/#/accounts/6577fd7c037fac0114456d39")</f>
        <v/>
      </c>
      <c r="I68">
        <f>HYPERLINK("http://www.weare-resolve.com/")</f>
        <v/>
      </c>
      <c r="J68">
        <f>HYPERLINK("http://www.linkedin.com/company/weare-resolve")</f>
        <v/>
      </c>
      <c r="K68">
        <f>HYPERLINK("https://twitter.com/weare_resolve")</f>
        <v/>
      </c>
      <c r="L68">
        <f>HYPERLINK("https://www.facebook.com/FirstChoiceEquipment")</f>
        <v/>
      </c>
      <c r="M68" t="inlineStr">
        <is>
          <t>Portsmouth, United Kingdom</t>
        </is>
      </c>
      <c r="N68" t="inlineStr">
        <is>
          <t>50</t>
        </is>
      </c>
      <c r="O68" t="inlineStr">
        <is>
          <t>Commercial Real Estate</t>
        </is>
      </c>
      <c r="P68" t="inlineStr">
        <is>
          <t>powered access,powered access,low level access,low level access</t>
        </is>
      </c>
    </row>
    <row r="69">
      <c r="A69" t="inlineStr">
        <is>
          <t>60db2191add7ba0001309008</t>
        </is>
      </c>
      <c r="B69" t="inlineStr">
        <is>
          <t>Philip Jeffcock</t>
        </is>
      </c>
      <c r="C69">
        <f>HYPERLINK("http://www.linkedin.com/in/philip-jeffcock-6b6a3a29")</f>
        <v/>
      </c>
      <c r="D69" t="inlineStr">
        <is>
          <t>philip@cewcapital.com</t>
        </is>
      </c>
      <c r="E69" t="inlineStr">
        <is>
          <t>Owner</t>
        </is>
      </c>
      <c r="F69">
        <f>HYPERLINK("https://app.apollo.io/#/people/60db2191add7ba0001309008")</f>
        <v/>
      </c>
      <c r="G69" t="inlineStr">
        <is>
          <t>Cew Capital LLP</t>
        </is>
      </c>
      <c r="H69">
        <f>HYPERLINK("https://app.apollo.io/#/organizations/559214ba73696418df595800")</f>
        <v/>
      </c>
      <c r="I69">
        <f>HYPERLINK("http://www.cewcapital.com/")</f>
        <v/>
      </c>
      <c r="J69">
        <f>HYPERLINK("http://www.linkedin.com/company/cew-capital-llp")</f>
        <v/>
      </c>
      <c r="K69">
        <f>HYPERLINK("Not Found")</f>
        <v/>
      </c>
      <c r="L69">
        <f>HYPERLINK("Not Found")</f>
        <v/>
      </c>
      <c r="M69" t="inlineStr">
        <is>
          <t>London, United Kingdom</t>
        </is>
      </c>
      <c r="N69" t="inlineStr">
        <is>
          <t>1</t>
        </is>
      </c>
      <c r="O69" t="inlineStr">
        <is>
          <t>Commercial Real Estate</t>
        </is>
      </c>
    </row>
    <row r="70">
      <c r="A70" t="inlineStr">
        <is>
          <t>656b18ca4fada00001150ba8</t>
        </is>
      </c>
      <c r="B70" t="inlineStr">
        <is>
          <t>Richard Elphick</t>
        </is>
      </c>
      <c r="C70">
        <f>HYPERLINK("http://www.linkedin.com/in/richard-elphick-9b862742")</f>
        <v/>
      </c>
      <c r="D70" t="inlineStr">
        <is>
          <t>richard@richardelphickrealestate.com</t>
        </is>
      </c>
      <c r="E70" t="inlineStr">
        <is>
          <t>Founder</t>
        </is>
      </c>
      <c r="F70">
        <f>HYPERLINK("https://app.apollo.io/#/people/656b18ca4fada00001150ba8")</f>
        <v/>
      </c>
      <c r="G70" t="inlineStr">
        <is>
          <t>Richard Elphick Real Estate</t>
        </is>
      </c>
      <c r="H70">
        <f>HYPERLINK("https://app.apollo.io/#/organizations/5c2557ccf65125e29d3400a9")</f>
        <v/>
      </c>
      <c r="I70">
        <f>HYPERLINK("http://www.richardelphickrealestate.com/")</f>
        <v/>
      </c>
      <c r="J70">
        <f>HYPERLINK("http://www.linkedin.com/company/richard-elphick-real-estate")</f>
        <v/>
      </c>
      <c r="K70">
        <f>HYPERLINK("Not Found")</f>
        <v/>
      </c>
      <c r="L70">
        <f>HYPERLINK("Not Found")</f>
        <v/>
      </c>
      <c r="M70" t="inlineStr">
        <is>
          <t>Reading, United Kingdom</t>
        </is>
      </c>
      <c r="N70" t="inlineStr">
        <is>
          <t>1</t>
        </is>
      </c>
      <c r="O70" t="inlineStr">
        <is>
          <t>Commercial Real Estate</t>
        </is>
      </c>
      <c r="P70" t="inlineStr">
        <is>
          <t>landlord tenant negotiations,landlord tenant negotiations</t>
        </is>
      </c>
    </row>
    <row r="71">
      <c r="A71" t="inlineStr">
        <is>
          <t>6577fd73037fac019c4559bb</t>
        </is>
      </c>
      <c r="B71" t="inlineStr">
        <is>
          <t>Chris Hunt</t>
        </is>
      </c>
      <c r="C71">
        <f>HYPERLINK("http://www.linkedin.com/in/chris-hunt-67292a9")</f>
        <v/>
      </c>
      <c r="D71" t="inlineStr">
        <is>
          <t>chris@v7am.com</t>
        </is>
      </c>
      <c r="E71" t="inlineStr">
        <is>
          <t>Co-founder &amp; Director</t>
        </is>
      </c>
      <c r="F71">
        <f>HYPERLINK("https://app.apollo.io/#/contacts/6577fd73037fac019c4559bb")</f>
        <v/>
      </c>
      <c r="G71" t="inlineStr">
        <is>
          <t>V7</t>
        </is>
      </c>
      <c r="H71">
        <f>HYPERLINK("https://app.apollo.io/#/accounts/6577fd69037fac019c455997")</f>
        <v/>
      </c>
      <c r="I71">
        <f>HYPERLINK("http://www.v7am.com/")</f>
        <v/>
      </c>
      <c r="J71">
        <f>HYPERLINK("http://www.linkedin.com/company/v7am")</f>
        <v/>
      </c>
      <c r="K71">
        <f>HYPERLINK("Not Found")</f>
        <v/>
      </c>
      <c r="L71">
        <f>HYPERLINK("Not Found")</f>
        <v/>
      </c>
      <c r="M71" t="inlineStr">
        <is>
          <t>London, United Kingdom</t>
        </is>
      </c>
      <c r="N71" t="inlineStr">
        <is>
          <t>24</t>
        </is>
      </c>
      <c r="O71" t="inlineStr">
        <is>
          <t>Commercial Real Estate</t>
        </is>
      </c>
      <c r="P71" t="inlineStr">
        <is>
          <t>commercial property asset management,commercial property asset management</t>
        </is>
      </c>
    </row>
    <row r="72">
      <c r="A72" t="inlineStr">
        <is>
          <t>6577fd84037fac019c455a0f</t>
        </is>
      </c>
      <c r="B72" t="inlineStr">
        <is>
          <t>Claudia Herring-Roehn</t>
        </is>
      </c>
      <c r="C72">
        <f>HYPERLINK("http://www.linkedin.com/in/claudiaroehn")</f>
        <v/>
      </c>
      <c r="D72" t="inlineStr">
        <is>
          <t>chroehn@boxbergcapital.com</t>
        </is>
      </c>
      <c r="E72" t="inlineStr">
        <is>
          <t>Director and Co-Founder</t>
        </is>
      </c>
      <c r="F72">
        <f>HYPERLINK("https://app.apollo.io/#/contacts/6577fd84037fac019c455a0f")</f>
        <v/>
      </c>
      <c r="G72" t="inlineStr">
        <is>
          <t>BOXBERG CAPITAL</t>
        </is>
      </c>
      <c r="H72">
        <f>HYPERLINK("https://app.apollo.io/#/accounts/6577f37a37a15e011434ab94")</f>
        <v/>
      </c>
      <c r="I72">
        <f>HYPERLINK("http://www.boxbergcapital.com/")</f>
        <v/>
      </c>
      <c r="J72">
        <f>HYPERLINK("http://www.linkedin.com/company/boxberg-capital-limited")</f>
        <v/>
      </c>
      <c r="K72">
        <f>HYPERLINK("Not Found")</f>
        <v/>
      </c>
      <c r="L72">
        <f>HYPERLINK("Not Found")</f>
        <v/>
      </c>
      <c r="M72" t="inlineStr">
        <is>
          <t>United Kingdom</t>
        </is>
      </c>
      <c r="N72" t="inlineStr">
        <is>
          <t>4</t>
        </is>
      </c>
      <c r="O72" t="inlineStr">
        <is>
          <t>Commercial Real Estate</t>
        </is>
      </c>
      <c r="P72" t="inlineStr">
        <is>
          <t>financing,financing,real estate private equity,real estate private equity</t>
        </is>
      </c>
    </row>
    <row r="73">
      <c r="A73" t="inlineStr">
        <is>
          <t>647ed241fdf806000117ffb3</t>
        </is>
      </c>
      <c r="B73" t="inlineStr">
        <is>
          <t>David Brown</t>
        </is>
      </c>
      <c r="C73">
        <f>HYPERLINK("http://www.linkedin.com/in/davidbrowncommercial")</f>
        <v/>
      </c>
      <c r="D73" t="inlineStr">
        <is>
          <t>dbrown@davidbrownproperty.com</t>
        </is>
      </c>
      <c r="E73" t="inlineStr">
        <is>
          <t>Owner</t>
        </is>
      </c>
      <c r="F73">
        <f>HYPERLINK("https://app.apollo.io/#/people/647ed241fdf806000117ffb3")</f>
        <v/>
      </c>
      <c r="G73" t="inlineStr">
        <is>
          <t>David Brown Commercial</t>
        </is>
      </c>
      <c r="H73">
        <f>HYPERLINK("https://app.apollo.io/#/organizations/54a126c069702d8eebeb6300")</f>
        <v/>
      </c>
      <c r="I73">
        <f>HYPERLINK("http://www.davidbrownproperty.com/")</f>
        <v/>
      </c>
      <c r="J73">
        <f>HYPERLINK("http://www.linkedin.com/company/david-brown-commercial")</f>
        <v/>
      </c>
      <c r="K73">
        <f>HYPERLINK("Not Found")</f>
        <v/>
      </c>
      <c r="L73">
        <f>HYPERLINK("Not Found")</f>
        <v/>
      </c>
      <c r="M73" t="inlineStr">
        <is>
          <t>Derby, United Kingdom</t>
        </is>
      </c>
      <c r="N73" t="inlineStr">
        <is>
          <t>3</t>
        </is>
      </c>
      <c r="O73" t="inlineStr">
        <is>
          <t>Commercial Real Estate</t>
        </is>
      </c>
    </row>
    <row r="74">
      <c r="A74" t="inlineStr">
        <is>
          <t>6577fd69037fac019c455996</t>
        </is>
      </c>
      <c r="B74" t="inlineStr">
        <is>
          <t>Zak Veasey</t>
        </is>
      </c>
      <c r="C74">
        <f>HYPERLINK("http://www.linkedin.com/in/zak-veasey-0b115819")</f>
        <v/>
      </c>
      <c r="D74" t="inlineStr">
        <is>
          <t>zak@v7am.com</t>
        </is>
      </c>
      <c r="E74" t="inlineStr">
        <is>
          <t>Co-founder and Director</t>
        </is>
      </c>
      <c r="F74">
        <f>HYPERLINK("https://app.apollo.io/#/contacts/6577fd69037fac019c455996")</f>
        <v/>
      </c>
      <c r="G74" t="inlineStr">
        <is>
          <t>V7</t>
        </is>
      </c>
      <c r="H74">
        <f>HYPERLINK("https://app.apollo.io/#/accounts/6577fd69037fac019c455997")</f>
        <v/>
      </c>
      <c r="I74">
        <f>HYPERLINK("http://www.v7am.com/")</f>
        <v/>
      </c>
      <c r="J74">
        <f>HYPERLINK("http://www.linkedin.com/company/v7am")</f>
        <v/>
      </c>
      <c r="K74">
        <f>HYPERLINK("Not Found")</f>
        <v/>
      </c>
      <c r="L74">
        <f>HYPERLINK("Not Found")</f>
        <v/>
      </c>
      <c r="M74" t="inlineStr">
        <is>
          <t>London, United Kingdom</t>
        </is>
      </c>
      <c r="N74" t="inlineStr">
        <is>
          <t>24</t>
        </is>
      </c>
      <c r="O74" t="inlineStr">
        <is>
          <t>Commercial Real Estate</t>
        </is>
      </c>
      <c r="P74" t="inlineStr">
        <is>
          <t>commercial property asset management,commercial property asset management</t>
        </is>
      </c>
    </row>
    <row r="75">
      <c r="A75" t="inlineStr">
        <is>
          <t>54a9e416746869334a4d4e1b</t>
        </is>
      </c>
      <c r="B75" t="inlineStr">
        <is>
          <t>Chris Ditchfield</t>
        </is>
      </c>
      <c r="C75">
        <f>HYPERLINK("http://www.linkedin.com/in/chrisditchfield")</f>
        <v/>
      </c>
      <c r="D75" t="inlineStr">
        <is>
          <t>chris@ditchfieldproperty.co.uk</t>
        </is>
      </c>
      <c r="E75" t="inlineStr">
        <is>
          <t>Owner</t>
        </is>
      </c>
      <c r="F75">
        <f>HYPERLINK("https://app.apollo.io/#/people/54a9e416746869334a4d4e1b")</f>
        <v/>
      </c>
      <c r="G75" t="inlineStr">
        <is>
          <t>Ditchfield Property</t>
        </is>
      </c>
      <c r="H75">
        <f>HYPERLINK("https://app.apollo.io/#/organizations/5a9e2a57a6da98d98c6c032d")</f>
        <v/>
      </c>
      <c r="I75">
        <f>HYPERLINK("http://www.ditchfieldproperty.co.uk/")</f>
        <v/>
      </c>
      <c r="J75">
        <f>HYPERLINK("http://www.linkedin.com/company/ditchfield-property")</f>
        <v/>
      </c>
      <c r="K75">
        <f>HYPERLINK("https://twitter.com/DitchProp")</f>
        <v/>
      </c>
      <c r="L75">
        <f>HYPERLINK("Not Found")</f>
        <v/>
      </c>
      <c r="M75" t="inlineStr">
        <is>
          <t>United Kingdom</t>
        </is>
      </c>
      <c r="N75" t="inlineStr">
        <is>
          <t>1</t>
        </is>
      </c>
      <c r="O75" t="inlineStr">
        <is>
          <t>Commercial Real Estate</t>
        </is>
      </c>
      <c r="P75" t="inlineStr">
        <is>
          <t>property lettings,property lettings,retail property,retail property</t>
        </is>
      </c>
    </row>
    <row r="76">
      <c r="A76" t="inlineStr">
        <is>
          <t>54a3ae4d7468693676ab290a</t>
        </is>
      </c>
      <c r="B76" t="inlineStr">
        <is>
          <t>Ray Walker</t>
        </is>
      </c>
      <c r="C76">
        <f>HYPERLINK("http://www.linkedin.com/in/ray-walker-045853")</f>
        <v/>
      </c>
      <c r="D76" t="inlineStr">
        <is>
          <t>rwalker@monmouthdean.com</t>
        </is>
      </c>
      <c r="E76" t="inlineStr">
        <is>
          <t>Owner</t>
        </is>
      </c>
      <c r="F76">
        <f>HYPERLINK("https://app.apollo.io/#/people/54a3ae4d7468693676ab290a")</f>
        <v/>
      </c>
      <c r="G76" t="inlineStr">
        <is>
          <t>Monmouth Dean</t>
        </is>
      </c>
      <c r="H76">
        <f>HYPERLINK("https://app.apollo.io/#/accounts/6577fe80037fac011445752d")</f>
        <v/>
      </c>
      <c r="I76">
        <f>HYPERLINK("http://www.monmouthdean.com/")</f>
        <v/>
      </c>
      <c r="J76">
        <f>HYPERLINK("http://www.linkedin.com/company/monmouth-dean")</f>
        <v/>
      </c>
      <c r="K76">
        <f>HYPERLINK("https://twitter.com/MonmouthDean")</f>
        <v/>
      </c>
      <c r="L76">
        <f>HYPERLINK("https://www.facebook.com/MonmouthDean/")</f>
        <v/>
      </c>
      <c r="M76" t="inlineStr">
        <is>
          <t>London, United Kingdom</t>
        </is>
      </c>
      <c r="N76" t="inlineStr">
        <is>
          <t>11</t>
        </is>
      </c>
      <c r="O76" t="inlineStr">
        <is>
          <t>Commercial Real Estate</t>
        </is>
      </c>
      <c r="P76" t="inlineStr">
        <is>
          <t>office acqusitions,office acqusitions,office lettings,office lettings</t>
        </is>
      </c>
    </row>
    <row r="77">
      <c r="A77" t="inlineStr">
        <is>
          <t>5570357f7369645e02630300</t>
        </is>
      </c>
      <c r="B77" t="inlineStr">
        <is>
          <t>John Bareham</t>
        </is>
      </c>
      <c r="C77">
        <f>HYPERLINK("http://www.linkedin.com/in/john-bareham-4931a4b")</f>
        <v/>
      </c>
      <c r="D77" t="inlineStr">
        <is>
          <t>john.bareham@cushwake.com</t>
        </is>
      </c>
      <c r="E77" t="inlineStr">
        <is>
          <t>International Partner</t>
        </is>
      </c>
      <c r="F77">
        <f>HYPERLINK("https://app.apollo.io/#/people/5570357f7369645e02630300")</f>
        <v/>
      </c>
      <c r="G77" t="inlineStr">
        <is>
          <t>Cushman &amp; Wakefield - Formerly DTZ</t>
        </is>
      </c>
      <c r="H77">
        <f>HYPERLINK("https://app.apollo.io/#/accounts/6577f3bd37a15e02e633e739")</f>
        <v/>
      </c>
      <c r="I77">
        <f>HYPERLINK("http://www.cushwake.com/")</f>
        <v/>
      </c>
      <c r="J77">
        <f>HYPERLINK("http://www.linkedin.com/company/dtz")</f>
        <v/>
      </c>
      <c r="K77">
        <f>HYPERLINK("Not Found")</f>
        <v/>
      </c>
      <c r="L77">
        <f>HYPERLINK("Not Found")</f>
        <v/>
      </c>
      <c r="M77" t="inlineStr">
        <is>
          <t>West End, United Kingdom</t>
        </is>
      </c>
      <c r="N77" t="inlineStr">
        <is>
          <t>3,800</t>
        </is>
      </c>
      <c r="O77" t="inlineStr">
        <is>
          <t>Commercial Real Estate</t>
        </is>
      </c>
      <c r="P77" t="inlineStr">
        <is>
          <t>agency leasing,agency leasing,capital markets,capital markets</t>
        </is>
      </c>
    </row>
    <row r="78">
      <c r="A78" t="inlineStr">
        <is>
          <t>57d6844ba6da985472ee76ae</t>
        </is>
      </c>
      <c r="B78" t="inlineStr">
        <is>
          <t>Julian Burton</t>
        </is>
      </c>
      <c r="C78">
        <f>HYPERLINK("http://www.linkedin.com/in/julian-burton-a3083811")</f>
        <v/>
      </c>
      <c r="D78" t="inlineStr">
        <is>
          <t>burton882@btinternet.com</t>
        </is>
      </c>
      <c r="E78" t="inlineStr">
        <is>
          <t>Owner</t>
        </is>
      </c>
      <c r="F78">
        <f>HYPERLINK("https://app.apollo.io/#/people/57d6844ba6da985472ee76ae")</f>
        <v/>
      </c>
      <c r="G78" t="inlineStr">
        <is>
          <t>Commercial Solutions</t>
        </is>
      </c>
      <c r="H78">
        <f>HYPERLINK("https://app.apollo.io/#/organizations/64685c063554dd00013d685a")</f>
        <v/>
      </c>
      <c r="I78">
        <f>HYPERLINK("http://www.commercialsolutions.in/")</f>
        <v/>
      </c>
      <c r="J78">
        <f>HYPERLINK("http://www.linkedin.com/company/commercial-solutions-real-estate")</f>
        <v/>
      </c>
      <c r="K78">
        <f>HYPERLINK("Not Found")</f>
        <v/>
      </c>
      <c r="L78">
        <f>HYPERLINK("Not Found")</f>
        <v/>
      </c>
      <c r="M78" t="inlineStr">
        <is>
          <t>Chelmsford, United Kingdom</t>
        </is>
      </c>
      <c r="N78" t="inlineStr">
        <is>
          <t>8</t>
        </is>
      </c>
      <c r="O78" t="inlineStr">
        <is>
          <t>Commercial Real Estate</t>
        </is>
      </c>
      <c r="P78" t="inlineStr">
        <is>
          <t>real estate agent,real estate agent,real estate consulting,real estate consulting</t>
        </is>
      </c>
    </row>
    <row r="79">
      <c r="A79" t="inlineStr">
        <is>
          <t>54a72f7e746869705afa6e1d</t>
        </is>
      </c>
      <c r="B79" t="inlineStr">
        <is>
          <t>Paul Hazell</t>
        </is>
      </c>
      <c r="C79">
        <f>HYPERLINK("http://www.linkedin.com/in/paul-hazell-9b962825")</f>
        <v/>
      </c>
      <c r="D79" t="inlineStr">
        <is>
          <t>paul.hazell@kirkbydiamond.co.uk</t>
        </is>
      </c>
      <c r="E79" t="inlineStr">
        <is>
          <t>Executive Partner</t>
        </is>
      </c>
      <c r="F79">
        <f>HYPERLINK("https://app.apollo.io/#/people/54a72f7e746869705afa6e1d")</f>
        <v/>
      </c>
      <c r="G79" t="inlineStr">
        <is>
          <t>Kirkby Diamond</t>
        </is>
      </c>
      <c r="H79">
        <f>HYPERLINK("https://app.apollo.io/#/accounts/6577f4cd37a15e02e633e936")</f>
        <v/>
      </c>
      <c r="I79">
        <f>HYPERLINK("http://www.kirkbydiamond.co.uk/")</f>
        <v/>
      </c>
      <c r="J79">
        <f>HYPERLINK("http://www.linkedin.com/company/kirkby-and-diamond")</f>
        <v/>
      </c>
      <c r="K79">
        <f>HYPERLINK("https://twitter.com/KirkbyDiamond")</f>
        <v/>
      </c>
      <c r="L79">
        <f>HYPERLINK("https://www.facebook.com/kirkbydiamond")</f>
        <v/>
      </c>
      <c r="M79" t="inlineStr">
        <is>
          <t>Milton Keynes, United Kingdom</t>
        </is>
      </c>
      <c r="N79" t="inlineStr">
        <is>
          <t>57</t>
        </is>
      </c>
      <c r="O79" t="inlineStr">
        <is>
          <t>Commercial Real Estate</t>
        </is>
      </c>
      <c r="P79" t="inlineStr">
        <is>
          <t>commercial property services,commercial property services</t>
        </is>
      </c>
    </row>
    <row r="80">
      <c r="A80" t="inlineStr">
        <is>
          <t>56ee2bc7f3e5bb636a00023c</t>
        </is>
      </c>
      <c r="B80" t="inlineStr">
        <is>
          <t>Will Nelson</t>
        </is>
      </c>
      <c r="C80">
        <f>HYPERLINK("http://www.linkedin.com/in/will-nelson-94098462")</f>
        <v/>
      </c>
      <c r="D80" t="inlineStr">
        <is>
          <t>will.nelson@acrellp.com</t>
        </is>
      </c>
      <c r="E80" t="inlineStr">
        <is>
          <t>Associate Partner</t>
        </is>
      </c>
      <c r="F80">
        <f>HYPERLINK("https://app.apollo.io/#/people/56ee2bc7f3e5bb636a00023c")</f>
        <v/>
      </c>
      <c r="G80" t="inlineStr">
        <is>
          <t>ACRE Capital Real Estate LLP</t>
        </is>
      </c>
      <c r="H80">
        <f>HYPERLINK("https://app.apollo.io/#/accounts/6577f48137a15e02e633e8a9")</f>
        <v/>
      </c>
      <c r="I80">
        <f>HYPERLINK("http://www.acrellp.com/")</f>
        <v/>
      </c>
      <c r="J80">
        <f>HYPERLINK("http://www.linkedin.com/company/acre-capital-real-estate-llp")</f>
        <v/>
      </c>
      <c r="K80">
        <f>HYPERLINK("Not Found")</f>
        <v/>
      </c>
      <c r="L80">
        <f>HYPERLINK("Not Found")</f>
        <v/>
      </c>
      <c r="M80" t="inlineStr">
        <is>
          <t>London, United Kingdom</t>
        </is>
      </c>
      <c r="N80" t="inlineStr">
        <is>
          <t>20</t>
        </is>
      </c>
      <c r="O80" t="inlineStr">
        <is>
          <t>Commercial Real Estate</t>
        </is>
      </c>
      <c r="P80" t="inlineStr">
        <is>
          <t>commercial real estate,commercial real estate</t>
        </is>
      </c>
    </row>
    <row r="81">
      <c r="A81" t="inlineStr">
        <is>
          <t>54a3bfef74686936767da40f</t>
        </is>
      </c>
      <c r="B81" t="inlineStr">
        <is>
          <t>Chris Dennant</t>
        </is>
      </c>
      <c r="C81">
        <f>HYPERLINK("http://www.linkedin.com/in/chris-dennant-26a43433")</f>
        <v/>
      </c>
      <c r="D81" t="inlineStr">
        <is>
          <t>chris@ashwellrogers.com</t>
        </is>
      </c>
      <c r="E81" t="inlineStr">
        <is>
          <t>Owner</t>
        </is>
      </c>
      <c r="F81">
        <f>HYPERLINK("https://app.apollo.io/#/people/54a3bfef74686936767da40f")</f>
        <v/>
      </c>
      <c r="G81" t="inlineStr">
        <is>
          <t>Ashwell Rogers</t>
        </is>
      </c>
      <c r="H81">
        <f>HYPERLINK("https://app.apollo.io/#/organizations/556ce4bb736964124b834a00")</f>
        <v/>
      </c>
      <c r="I81">
        <f>HYPERLINK("http://www.ashwellrogers.co.uk/")</f>
        <v/>
      </c>
      <c r="J81">
        <f>HYPERLINK("http://www.linkedin.com/company/ashwell-rogers")</f>
        <v/>
      </c>
      <c r="K81">
        <f>HYPERLINK("https://twitter.com/AshwellRogers")</f>
        <v/>
      </c>
      <c r="L81">
        <f>HYPERLINK("https://facebook.com/pages/Ashwell-Rogers/881342448543206")</f>
        <v/>
      </c>
      <c r="M81" t="inlineStr">
        <is>
          <t>London, United Kingdom</t>
        </is>
      </c>
      <c r="N81" t="inlineStr">
        <is>
          <t>4</t>
        </is>
      </c>
      <c r="O81" t="inlineStr">
        <is>
          <t>Commercial Real Estate</t>
        </is>
      </c>
      <c r="P81" t="inlineStr">
        <is>
          <t>office agency central london,office agency central london</t>
        </is>
      </c>
    </row>
    <row r="82">
      <c r="A82" t="inlineStr">
        <is>
          <t>60681b7ac1e1e60001c130f9</t>
        </is>
      </c>
      <c r="B82" t="inlineStr">
        <is>
          <t>Saqib Mullick</t>
        </is>
      </c>
      <c r="C82">
        <f>HYPERLINK("http://www.linkedin.com/in/saqib-mullick-24a38b22")</f>
        <v/>
      </c>
      <c r="D82" t="inlineStr">
        <is>
          <t>saqib@citylightam.com</t>
        </is>
      </c>
      <c r="E82" t="inlineStr">
        <is>
          <t>Managing Partner</t>
        </is>
      </c>
      <c r="F82">
        <f>HYPERLINK("https://app.apollo.io/#/people/60681b7ac1e1e60001c130f9")</f>
        <v/>
      </c>
      <c r="G82" t="inlineStr">
        <is>
          <t>Citylight Asset Management</t>
        </is>
      </c>
      <c r="H82">
        <f>HYPERLINK("https://app.apollo.io/#/organizations/5e56654b8c394e0001588ddf")</f>
        <v/>
      </c>
      <c r="I82">
        <f>HYPERLINK("http://www.citylightam.com/")</f>
        <v/>
      </c>
      <c r="J82">
        <f>HYPERLINK("http://www.linkedin.com/company/citylight-am")</f>
        <v/>
      </c>
      <c r="K82">
        <f>HYPERLINK("Not Found")</f>
        <v/>
      </c>
      <c r="L82">
        <f>HYPERLINK("Not Found")</f>
        <v/>
      </c>
      <c r="M82" t="inlineStr">
        <is>
          <t>United Kingdom</t>
        </is>
      </c>
      <c r="N82" t="inlineStr">
        <is>
          <t>2</t>
        </is>
      </c>
      <c r="O82" t="inlineStr">
        <is>
          <t>Commercial Real Estate</t>
        </is>
      </c>
      <c r="P82" t="inlineStr">
        <is>
          <t>commercial real estate,commercial real estate</t>
        </is>
      </c>
    </row>
    <row r="83">
      <c r="A83" t="inlineStr">
        <is>
          <t>57dfc224a6da980b658b32f4</t>
        </is>
      </c>
      <c r="B83" t="inlineStr">
        <is>
          <t>Kormakur Arthursson</t>
        </is>
      </c>
      <c r="C83">
        <f>HYPERLINK("http://www.linkedin.com/in/kormakura")</f>
        <v/>
      </c>
      <c r="D83" t="inlineStr">
        <is>
          <t>kormakur@fortuneinvestments.co.uk</t>
        </is>
      </c>
      <c r="E83" t="inlineStr">
        <is>
          <t>Managing Partner</t>
        </is>
      </c>
      <c r="F83">
        <f>HYPERLINK("https://app.apollo.io/#/people/57dfc224a6da980b658b32f4")</f>
        <v/>
      </c>
      <c r="G83" t="inlineStr">
        <is>
          <t>FPI Group</t>
        </is>
      </c>
      <c r="H83">
        <f>HYPERLINK("https://app.apollo.io/#/organizations/5b84f176324d4472c0bf7940")</f>
        <v/>
      </c>
      <c r="I83">
        <f>HYPERLINK("http://www.fortuneinvestments.co.uk/")</f>
        <v/>
      </c>
      <c r="J83">
        <f>HYPERLINK("http://www.linkedin.com/company/fortune-property-investment-group")</f>
        <v/>
      </c>
      <c r="K83">
        <f>HYPERLINK("Not Found")</f>
        <v/>
      </c>
      <c r="L83">
        <f>HYPERLINK("Not Found")</f>
        <v/>
      </c>
      <c r="M83" t="inlineStr">
        <is>
          <t>London, United Kingdom</t>
        </is>
      </c>
      <c r="N83" t="inlineStr">
        <is>
          <t>10</t>
        </is>
      </c>
      <c r="O83" t="inlineStr">
        <is>
          <t>Commercial Real Estate</t>
        </is>
      </c>
      <c r="P83" t="inlineStr">
        <is>
          <t>real estate development,real estate development</t>
        </is>
      </c>
    </row>
    <row r="84">
      <c r="A84" t="inlineStr">
        <is>
          <t>54a13a0e69702de5b3758f00</t>
        </is>
      </c>
      <c r="B84" t="inlineStr">
        <is>
          <t>Pooja Gandhi</t>
        </is>
      </c>
      <c r="C84">
        <f>HYPERLINK("http://www.linkedin.com/in/poojadgandhi")</f>
        <v/>
      </c>
      <c r="D84" t="inlineStr">
        <is>
          <t>pooja.gandhi@grayce.co.uk</t>
        </is>
      </c>
      <c r="E84" t="inlineStr">
        <is>
          <t>Client Partner</t>
        </is>
      </c>
      <c r="F84">
        <f>HYPERLINK("https://app.apollo.io/#/people/54a13a0e69702de5b3758f00")</f>
        <v/>
      </c>
      <c r="G84" t="inlineStr">
        <is>
          <t>GRAYCE Property Consultants</t>
        </is>
      </c>
      <c r="H84">
        <f>HYPERLINK("https://app.apollo.io/#/organizations/64be46a462220c000154e472")</f>
        <v/>
      </c>
      <c r="I84">
        <f>HYPERLINK("Not Found")</f>
        <v/>
      </c>
      <c r="J84">
        <f>HYPERLINK("http://www.linkedin.com/company/grayce-real-estate-consultants")</f>
        <v/>
      </c>
      <c r="K84">
        <f>HYPERLINK("Not Found")</f>
        <v/>
      </c>
      <c r="L84">
        <f>HYPERLINK("Not Found")</f>
        <v/>
      </c>
      <c r="M84" t="inlineStr">
        <is>
          <t>United Kingdom</t>
        </is>
      </c>
      <c r="N84" t="inlineStr">
        <is>
          <t>17</t>
        </is>
      </c>
      <c r="O84" t="inlineStr">
        <is>
          <t>Commercial Real Estate</t>
        </is>
      </c>
      <c r="P84" t="inlineStr">
        <is>
          <t>property management,property management</t>
        </is>
      </c>
    </row>
    <row r="85">
      <c r="A85" t="inlineStr">
        <is>
          <t>54a7099d746869622076750f</t>
        </is>
      </c>
      <c r="B85" t="inlineStr">
        <is>
          <t>Rhys Evans</t>
        </is>
      </c>
      <c r="C85">
        <f>HYPERLINK("http://www.linkedin.com/in/rhysevans-md")</f>
        <v/>
      </c>
      <c r="D85" t="inlineStr">
        <is>
          <t>revans@monmouthdean.com</t>
        </is>
      </c>
      <c r="E85" t="inlineStr">
        <is>
          <t>Equity Partner</t>
        </is>
      </c>
      <c r="F85">
        <f>HYPERLINK("https://app.apollo.io/#/people/54a7099d746869622076750f")</f>
        <v/>
      </c>
      <c r="G85" t="inlineStr">
        <is>
          <t>Monmouth Dean</t>
        </is>
      </c>
      <c r="H85">
        <f>HYPERLINK("https://app.apollo.io/#/accounts/6577fe80037fac011445752d")</f>
        <v/>
      </c>
      <c r="I85">
        <f>HYPERLINK("http://www.monmouthdean.com/")</f>
        <v/>
      </c>
      <c r="J85">
        <f>HYPERLINK("http://www.linkedin.com/company/monmouth-dean")</f>
        <v/>
      </c>
      <c r="K85">
        <f>HYPERLINK("https://twitter.com/MonmouthDean")</f>
        <v/>
      </c>
      <c r="L85">
        <f>HYPERLINK("https://www.facebook.com/MonmouthDean/")</f>
        <v/>
      </c>
      <c r="M85" t="inlineStr">
        <is>
          <t>London, United Kingdom</t>
        </is>
      </c>
      <c r="N85" t="inlineStr">
        <is>
          <t>11</t>
        </is>
      </c>
      <c r="O85" t="inlineStr">
        <is>
          <t>Commercial Real Estate</t>
        </is>
      </c>
      <c r="P85" t="inlineStr">
        <is>
          <t>office acqusitions,office acqusitions,office lettings,office lettings</t>
        </is>
      </c>
    </row>
    <row r="86">
      <c r="A86" t="inlineStr">
        <is>
          <t>54c1d07e7468697af721414c</t>
        </is>
      </c>
      <c r="B86" t="inlineStr">
        <is>
          <t>Hugo Clarke</t>
        </is>
      </c>
      <c r="C86">
        <f>HYPERLINK("http://www.linkedin.com/in/hugo-clarke-a4a55712")</f>
        <v/>
      </c>
      <c r="D86" t="inlineStr">
        <is>
          <t>hugo.clarke@kimmre.com</t>
        </is>
      </c>
      <c r="E86" t="inlineStr">
        <is>
          <t>Associate Partner</t>
        </is>
      </c>
      <c r="F86">
        <f>HYPERLINK("https://app.apollo.io/#/people/54c1d07e7468697af721414c")</f>
        <v/>
      </c>
      <c r="G86" t="inlineStr">
        <is>
          <t>Kimmre</t>
        </is>
      </c>
      <c r="H86">
        <f>HYPERLINK("https://app.apollo.io/#/accounts/6577f42037a15e022d340bf9")</f>
        <v/>
      </c>
      <c r="I86">
        <f>HYPERLINK("http://www.kimmre.com/")</f>
        <v/>
      </c>
      <c r="J86">
        <f>HYPERLINK("http://www.linkedin.com/company/kimmre")</f>
        <v/>
      </c>
      <c r="K86">
        <f>HYPERLINK("Not Found")</f>
        <v/>
      </c>
      <c r="L86">
        <f>HYPERLINK("Not Found")</f>
        <v/>
      </c>
      <c r="M86" t="inlineStr">
        <is>
          <t>London, United Kingdom</t>
        </is>
      </c>
      <c r="N86" t="inlineStr">
        <is>
          <t>18</t>
        </is>
      </c>
      <c r="O86" t="inlineStr">
        <is>
          <t>Commercial Real Estate</t>
        </is>
      </c>
      <c r="P86" t="inlineStr">
        <is>
          <t>commercial real estate,commercial real estate</t>
        </is>
      </c>
    </row>
    <row r="87">
      <c r="A87" t="inlineStr">
        <is>
          <t>6577fd97037fac0114456e22</t>
        </is>
      </c>
      <c r="B87" t="inlineStr">
        <is>
          <t>Adam Smith</t>
        </is>
      </c>
      <c r="C87">
        <f>HYPERLINK("http://www.linkedin.com/in/adam-smith-1662962b")</f>
        <v/>
      </c>
      <c r="D87" t="inlineStr">
        <is>
          <t>adsmith@lrg.co.uk</t>
        </is>
      </c>
      <c r="E87" t="inlineStr">
        <is>
          <t>Group Head of Marketing</t>
        </is>
      </c>
      <c r="F87">
        <f>HYPERLINK("https://app.apollo.io/#/contacts/6577fd97037fac0114456e22")</f>
        <v/>
      </c>
      <c r="G87" t="inlineStr">
        <is>
          <t>Leaders Romans Group</t>
        </is>
      </c>
      <c r="H87">
        <f>HYPERLINK("https://app.apollo.io/#/accounts/6577bc57a3b9550198ec6839")</f>
        <v/>
      </c>
      <c r="I87">
        <f>HYPERLINK("http://www.lrg.co.uk/")</f>
        <v/>
      </c>
      <c r="J87">
        <f>HYPERLINK("http://www.linkedin.com/company/leaders-romans-group")</f>
        <v/>
      </c>
      <c r="K87">
        <f>HYPERLINK("Not Found")</f>
        <v/>
      </c>
      <c r="L87">
        <f>HYPERLINK("Not Found")</f>
        <v/>
      </c>
      <c r="M87" t="inlineStr">
        <is>
          <t>Bromley, United Kingdom</t>
        </is>
      </c>
      <c r="N87" t="inlineStr">
        <is>
          <t>2,600</t>
        </is>
      </c>
      <c r="O87" t="inlineStr">
        <is>
          <t>Commercial Real Estate</t>
        </is>
      </c>
      <c r="P87" t="inlineStr">
        <is>
          <t>estate agency,estate agency,lettings,lettings</t>
        </is>
      </c>
    </row>
    <row r="88">
      <c r="A88" t="inlineStr">
        <is>
          <t>564e7f0fa6da986f6f00c7a8</t>
        </is>
      </c>
      <c r="B88" t="inlineStr">
        <is>
          <t>James Cooper-Parry</t>
        </is>
      </c>
      <c r="C88">
        <f>HYPERLINK("http://www.linkedin.com/in/james-cooper-parry-66aba9a4")</f>
        <v/>
      </c>
      <c r="D88" t="inlineStr">
        <is>
          <t>james.cooperparry@acrellp.com</t>
        </is>
      </c>
      <c r="E88" t="inlineStr">
        <is>
          <t>Associate Partner</t>
        </is>
      </c>
      <c r="F88">
        <f>HYPERLINK("https://app.apollo.io/#/people/564e7f0fa6da986f6f00c7a8")</f>
        <v/>
      </c>
      <c r="G88" t="inlineStr">
        <is>
          <t>ACRE Capital Real Estate LLP</t>
        </is>
      </c>
      <c r="H88">
        <f>HYPERLINK("https://app.apollo.io/#/accounts/6577f48137a15e02e633e8a9")</f>
        <v/>
      </c>
      <c r="I88">
        <f>HYPERLINK("http://www.acrellp.com/")</f>
        <v/>
      </c>
      <c r="J88">
        <f>HYPERLINK("http://www.linkedin.com/company/acre-capital-real-estate-llp")</f>
        <v/>
      </c>
      <c r="K88">
        <f>HYPERLINK("Not Found")</f>
        <v/>
      </c>
      <c r="L88">
        <f>HYPERLINK("Not Found")</f>
        <v/>
      </c>
      <c r="M88" t="inlineStr">
        <is>
          <t>London, United Kingdom</t>
        </is>
      </c>
      <c r="N88" t="inlineStr">
        <is>
          <t>20</t>
        </is>
      </c>
      <c r="O88" t="inlineStr">
        <is>
          <t>Commercial Real Estate</t>
        </is>
      </c>
      <c r="P88" t="inlineStr">
        <is>
          <t>commercial real estate,commercial real estate</t>
        </is>
      </c>
    </row>
    <row r="89">
      <c r="A89" t="inlineStr">
        <is>
          <t>54a7509374686962202b2e29</t>
        </is>
      </c>
      <c r="B89" t="inlineStr">
        <is>
          <t>Raik Beyoglu</t>
        </is>
      </c>
      <c r="C89">
        <f>HYPERLINK("http://www.linkedin.com/in/raik-beyoglu-52b1085a")</f>
        <v/>
      </c>
      <c r="D89" t="inlineStr">
        <is>
          <t>raik.beyoglu@levyrealestate.co.uk</t>
        </is>
      </c>
      <c r="E89" t="inlineStr">
        <is>
          <t>Salaried Partner</t>
        </is>
      </c>
      <c r="F89">
        <f>HYPERLINK("https://app.apollo.io/#/people/54a7509374686962202b2e29")</f>
        <v/>
      </c>
      <c r="G89" t="inlineStr">
        <is>
          <t>Levy Real Estate</t>
        </is>
      </c>
      <c r="H89">
        <f>HYPERLINK("https://app.apollo.io/#/accounts/6577f46e37a15e011434b20c")</f>
        <v/>
      </c>
      <c r="I89">
        <f>HYPERLINK("http://www.levyrealestate.co.uk/")</f>
        <v/>
      </c>
      <c r="J89">
        <f>HYPERLINK("http://www.linkedin.com/company/levyrealestate")</f>
        <v/>
      </c>
      <c r="K89">
        <f>HYPERLINK("Not Found")</f>
        <v/>
      </c>
      <c r="L89">
        <f>HYPERLINK("Not Found")</f>
        <v/>
      </c>
      <c r="M89" t="inlineStr">
        <is>
          <t>London, United Kingdom</t>
        </is>
      </c>
      <c r="N89" t="inlineStr">
        <is>
          <t>50</t>
        </is>
      </c>
      <c r="O89" t="inlineStr">
        <is>
          <t>Commercial Real Estate</t>
        </is>
      </c>
    </row>
    <row r="90">
      <c r="A90" t="inlineStr">
        <is>
          <t>54a4566e7468693442c6af3f</t>
        </is>
      </c>
      <c r="B90" t="inlineStr">
        <is>
          <t>Matthew Samuel-Camps</t>
        </is>
      </c>
      <c r="C90">
        <f>HYPERLINK("http://www.linkedin.com/in/matthewsamuelcamps")</f>
        <v/>
      </c>
      <c r="D90" t="inlineStr">
        <is>
          <t>msamuel-camps@vailwilliams.com</t>
        </is>
      </c>
      <c r="E90" t="inlineStr">
        <is>
          <t>Managing Partner</t>
        </is>
      </c>
      <c r="F90">
        <f>HYPERLINK("https://app.apollo.io/#/people/54a4566e7468693442c6af3f")</f>
        <v/>
      </c>
      <c r="G90" t="inlineStr">
        <is>
          <t>Vail Williams</t>
        </is>
      </c>
      <c r="H90">
        <f>HYPERLINK("https://app.apollo.io/#/accounts/6577f2d837a15e011434a82f")</f>
        <v/>
      </c>
      <c r="I90">
        <f>HYPERLINK("http://www.vailwilliams.com/")</f>
        <v/>
      </c>
      <c r="J90">
        <f>HYPERLINK("http://www.linkedin.com/company/vail-williams")</f>
        <v/>
      </c>
      <c r="K90">
        <f>HYPERLINK("https://twitter.com/vailwilliams")</f>
        <v/>
      </c>
      <c r="L90">
        <f>HYPERLINK("https://www.facebook.com/vailwilliams")</f>
        <v/>
      </c>
      <c r="M90" t="inlineStr">
        <is>
          <t>Southampton, United Kingdom</t>
        </is>
      </c>
      <c r="N90" t="inlineStr">
        <is>
          <t>200</t>
        </is>
      </c>
      <c r="O90" t="inlineStr">
        <is>
          <t>Commercial Real Estate</t>
        </is>
      </c>
      <c r="P90" t="inlineStr">
        <is>
          <t>real estate,real estate,real estate agents,real estate agents</t>
        </is>
      </c>
    </row>
    <row r="91">
      <c r="A91" t="inlineStr">
        <is>
          <t>5b1b3f73a6da98072784d073</t>
        </is>
      </c>
      <c r="B91" t="inlineStr">
        <is>
          <t>Andrew Wright</t>
        </is>
      </c>
      <c r="C91">
        <f>HYPERLINK("http://www.linkedin.com/in/andrew-wright-12731815")</f>
        <v/>
      </c>
      <c r="D91" t="inlineStr">
        <is>
          <t>andrew.wright@kirkbydiamond.co.uk</t>
        </is>
      </c>
      <c r="E91" t="inlineStr">
        <is>
          <t>Senior Partner</t>
        </is>
      </c>
      <c r="F91">
        <f>HYPERLINK("https://app.apollo.io/#/people/5b1b3f73a6da98072784d073")</f>
        <v/>
      </c>
      <c r="G91" t="inlineStr">
        <is>
          <t>Kirkby Diamond</t>
        </is>
      </c>
      <c r="H91">
        <f>HYPERLINK("https://app.apollo.io/#/accounts/6577f4cd37a15e02e633e936")</f>
        <v/>
      </c>
      <c r="I91">
        <f>HYPERLINK("http://www.kirkbydiamond.co.uk/")</f>
        <v/>
      </c>
      <c r="J91">
        <f>HYPERLINK("http://www.linkedin.com/company/kirkby-and-diamond")</f>
        <v/>
      </c>
      <c r="K91">
        <f>HYPERLINK("https://twitter.com/KirkbyDiamond")</f>
        <v/>
      </c>
      <c r="L91">
        <f>HYPERLINK("https://www.facebook.com/kirkbydiamond")</f>
        <v/>
      </c>
      <c r="M91" t="inlineStr">
        <is>
          <t>Milton Keynes, United Kingdom</t>
        </is>
      </c>
      <c r="N91" t="inlineStr">
        <is>
          <t>57</t>
        </is>
      </c>
      <c r="O91" t="inlineStr">
        <is>
          <t>Commercial Real Estate</t>
        </is>
      </c>
      <c r="P91" t="inlineStr">
        <is>
          <t>commercial property services,commercial property services</t>
        </is>
      </c>
    </row>
    <row r="92">
      <c r="A92" t="inlineStr">
        <is>
          <t>54a53b7b7468692fa2d50088</t>
        </is>
      </c>
      <c r="B92" t="inlineStr">
        <is>
          <t>Dene Mitchell</t>
        </is>
      </c>
      <c r="C92">
        <f>HYPERLINK("http://www.linkedin.com/in/denemitchell")</f>
        <v/>
      </c>
      <c r="D92" t="inlineStr">
        <is>
          <t>dene.mitchell@cowiesburn.co.uk</t>
        </is>
      </c>
      <c r="E92" t="inlineStr">
        <is>
          <t>Managing Partner</t>
        </is>
      </c>
      <c r="F92">
        <f>HYPERLINK("https://app.apollo.io/#/people/54a53b7b7468692fa2d50088")</f>
        <v/>
      </c>
      <c r="G92" t="inlineStr">
        <is>
          <t>Cowiesburn</t>
        </is>
      </c>
      <c r="H92">
        <f>HYPERLINK("https://app.apollo.io/#/accounts/6577f42637a15e022d340c24")</f>
        <v/>
      </c>
      <c r="I92">
        <f>HYPERLINK("http://www.cowiesburn.co.uk/")</f>
        <v/>
      </c>
      <c r="J92">
        <f>HYPERLINK("http://www.linkedin.com/company/cowiesburn-asset-management-llp")</f>
        <v/>
      </c>
      <c r="K92">
        <f>HYPERLINK("Not Found")</f>
        <v/>
      </c>
      <c r="L92">
        <f>HYPERLINK("Not Found")</f>
        <v/>
      </c>
      <c r="M92" t="inlineStr">
        <is>
          <t>Edinburgh, United Kingdom</t>
        </is>
      </c>
      <c r="N92" t="inlineStr">
        <is>
          <t>24</t>
        </is>
      </c>
      <c r="O92" t="inlineStr">
        <is>
          <t>Commercial Real Estate</t>
        </is>
      </c>
      <c r="P92" t="inlineStr">
        <is>
          <t>commercial property management,commercial property management</t>
        </is>
      </c>
    </row>
    <row r="93">
      <c r="A93" t="inlineStr">
        <is>
          <t>64313f678c7fd400016319d6</t>
        </is>
      </c>
      <c r="B93" t="inlineStr">
        <is>
          <t>Laura Markelyte</t>
        </is>
      </c>
      <c r="C93">
        <f>HYPERLINK("http://www.linkedin.com/in/laura-markelyte-a95367236")</f>
        <v/>
      </c>
      <c r="D93" t="inlineStr">
        <is>
          <t>lmarkelyte@lrg.co.uk</t>
        </is>
      </c>
      <c r="E93" t="inlineStr">
        <is>
          <t>Recruitment Partner</t>
        </is>
      </c>
      <c r="F93">
        <f>HYPERLINK("https://app.apollo.io/#/people/64313f678c7fd400016319d6")</f>
        <v/>
      </c>
      <c r="G93" t="inlineStr">
        <is>
          <t>Leaders Romans Group</t>
        </is>
      </c>
      <c r="H93">
        <f>HYPERLINK("https://app.apollo.io/#/accounts/6577bc57a3b9550198ec6839")</f>
        <v/>
      </c>
      <c r="I93">
        <f>HYPERLINK("http://www.lrg.co.uk/")</f>
        <v/>
      </c>
      <c r="J93">
        <f>HYPERLINK("http://www.linkedin.com/company/leaders-romans-group")</f>
        <v/>
      </c>
      <c r="K93">
        <f>HYPERLINK("Not Found")</f>
        <v/>
      </c>
      <c r="L93">
        <f>HYPERLINK("Not Found")</f>
        <v/>
      </c>
      <c r="M93" t="inlineStr">
        <is>
          <t>Littlehampton, United Kingdom</t>
        </is>
      </c>
      <c r="N93" t="inlineStr">
        <is>
          <t>2,600</t>
        </is>
      </c>
      <c r="O93" t="inlineStr">
        <is>
          <t>Commercial Real Estate</t>
        </is>
      </c>
      <c r="P93" t="inlineStr">
        <is>
          <t>estate agency,estate agency,lettings,lettings</t>
        </is>
      </c>
    </row>
    <row r="94">
      <c r="A94" t="inlineStr">
        <is>
          <t>61683d72a35cbd0001530b47</t>
        </is>
      </c>
      <c r="B94" t="inlineStr">
        <is>
          <t>Karen Rolfe</t>
        </is>
      </c>
      <c r="C94">
        <f>HYPERLINK("http://www.linkedin.com/in/karen-rolfe-8440b168")</f>
        <v/>
      </c>
      <c r="D94" t="inlineStr">
        <is>
          <t>krolfe@lrg.co.uk</t>
        </is>
      </c>
      <c r="E94" t="inlineStr">
        <is>
          <t>Recruitment Partner</t>
        </is>
      </c>
      <c r="F94">
        <f>HYPERLINK("https://app.apollo.io/#/people/61683d72a35cbd0001530b47")</f>
        <v/>
      </c>
      <c r="G94" t="inlineStr">
        <is>
          <t>Leaders Romans Group</t>
        </is>
      </c>
      <c r="H94">
        <f>HYPERLINK("https://app.apollo.io/#/accounts/6577bc57a3b9550198ec6839")</f>
        <v/>
      </c>
      <c r="I94">
        <f>HYPERLINK("http://www.lrg.co.uk/")</f>
        <v/>
      </c>
      <c r="J94">
        <f>HYPERLINK("http://www.linkedin.com/company/leaders-romans-group")</f>
        <v/>
      </c>
      <c r="K94">
        <f>HYPERLINK("Not Found")</f>
        <v/>
      </c>
      <c r="L94">
        <f>HYPERLINK("Not Found")</f>
        <v/>
      </c>
      <c r="M94" t="inlineStr">
        <is>
          <t>Littlehampton, United Kingdom</t>
        </is>
      </c>
      <c r="N94" t="inlineStr">
        <is>
          <t>2,600</t>
        </is>
      </c>
      <c r="O94" t="inlineStr">
        <is>
          <t>Commercial Real Estate</t>
        </is>
      </c>
      <c r="P94" t="inlineStr">
        <is>
          <t>estate agency,estate agency,lettings,lettings</t>
        </is>
      </c>
    </row>
    <row r="95">
      <c r="A95" t="inlineStr">
        <is>
          <t>63a463ea0ea3d90001245e1e</t>
        </is>
      </c>
      <c r="B95" t="inlineStr">
        <is>
          <t>Charlie Moulton</t>
        </is>
      </c>
      <c r="C95">
        <f>HYPERLINK("http://www.linkedin.com/in/charlie-moulton-81360a74")</f>
        <v/>
      </c>
      <c r="D95" t="inlineStr">
        <is>
          <t>charlie.moulton@kimmre.com</t>
        </is>
      </c>
      <c r="E95" t="inlineStr">
        <is>
          <t>Associate Partner</t>
        </is>
      </c>
      <c r="F95">
        <f>HYPERLINK("https://app.apollo.io/#/people/63a463ea0ea3d90001245e1e")</f>
        <v/>
      </c>
      <c r="G95" t="inlineStr">
        <is>
          <t>Kimmre</t>
        </is>
      </c>
      <c r="H95">
        <f>HYPERLINK("https://app.apollo.io/#/accounts/6577f42037a15e022d340bf9")</f>
        <v/>
      </c>
      <c r="I95">
        <f>HYPERLINK("http://www.kimmre.com/")</f>
        <v/>
      </c>
      <c r="J95">
        <f>HYPERLINK("http://www.linkedin.com/company/kimmre")</f>
        <v/>
      </c>
      <c r="K95">
        <f>HYPERLINK("Not Found")</f>
        <v/>
      </c>
      <c r="L95">
        <f>HYPERLINK("Not Found")</f>
        <v/>
      </c>
      <c r="M95" t="inlineStr">
        <is>
          <t>London, United Kingdom</t>
        </is>
      </c>
      <c r="N95" t="inlineStr">
        <is>
          <t>18</t>
        </is>
      </c>
      <c r="O95" t="inlineStr">
        <is>
          <t>Commercial Real Estate</t>
        </is>
      </c>
      <c r="P95" t="inlineStr">
        <is>
          <t>commercial real estate,commercial real estate</t>
        </is>
      </c>
    </row>
    <row r="96">
      <c r="A96" t="inlineStr">
        <is>
          <t>6577fd9b037fac02ac45421e</t>
        </is>
      </c>
      <c r="B96" t="inlineStr">
        <is>
          <t>Laura Knight</t>
        </is>
      </c>
      <c r="C96">
        <f>HYPERLINK("http://www.linkedin.com/in/laura-knight-47823468")</f>
        <v/>
      </c>
      <c r="D96" t="inlineStr">
        <is>
          <t>lknight@plproperty.com</t>
        </is>
      </c>
      <c r="E96" t="inlineStr">
        <is>
          <t>Head of Marketing and Communications</t>
        </is>
      </c>
      <c r="F96">
        <f>HYPERLINK("https://app.apollo.io/#/contacts/6577fd9b037fac02ac45421e")</f>
        <v/>
      </c>
      <c r="G96" t="inlineStr">
        <is>
          <t>PLP</t>
        </is>
      </c>
      <c r="H96">
        <f>HYPERLINK("https://app.apollo.io/#/accounts/6577fd9b037fac02ac454220")</f>
        <v/>
      </c>
      <c r="I96">
        <f>HYPERLINK("http://www.plproperty.com/")</f>
        <v/>
      </c>
      <c r="J96">
        <f>HYPERLINK("http://www.linkedin.com/company/plproperty")</f>
        <v/>
      </c>
      <c r="K96">
        <f>HYPERLINK("https://twitter.com/PLPropUK")</f>
        <v/>
      </c>
      <c r="L96">
        <f>HYPERLINK("Not Found")</f>
        <v/>
      </c>
      <c r="M96" t="inlineStr">
        <is>
          <t>London, United Kingdom</t>
        </is>
      </c>
      <c r="N96" t="inlineStr">
        <is>
          <t>50</t>
        </is>
      </c>
      <c r="O96" t="inlineStr">
        <is>
          <t>Commercial Real Estate</t>
        </is>
      </c>
      <c r="P96" t="inlineStr">
        <is>
          <t>logistics &amp; industrial real estate,logistics &amp; industrial real estate</t>
        </is>
      </c>
    </row>
    <row r="97">
      <c r="A97" t="inlineStr">
        <is>
          <t>6559f11cdda9040001d22462</t>
        </is>
      </c>
      <c r="B97" t="inlineStr">
        <is>
          <t>Andrew Jolly</t>
        </is>
      </c>
      <c r="C97">
        <f>HYPERLINK("http://www.linkedin.com/in/andrew-jolly-04419224")</f>
        <v/>
      </c>
      <c r="D97" t="inlineStr">
        <is>
          <t>andrew@almk.co.uk</t>
        </is>
      </c>
      <c r="E97" t="inlineStr">
        <is>
          <t>Property Partner</t>
        </is>
      </c>
      <c r="F97">
        <f>HYPERLINK("https://app.apollo.io/#/people/6559f11cdda9040001d22462")</f>
        <v/>
      </c>
      <c r="G97" t="inlineStr">
        <is>
          <t>Alexander Lawrence Estate Agents</t>
        </is>
      </c>
      <c r="H97">
        <f>HYPERLINK("https://app.apollo.io/#/accounts/6578026a42fe9f00fc3fb903")</f>
        <v/>
      </c>
      <c r="I97">
        <f>HYPERLINK("http://www.alexanderlawrencemk.co.uk/")</f>
        <v/>
      </c>
      <c r="J97">
        <f>HYPERLINK("http://www.linkedin.com/company/alexander-lawrence-estate-agents-ltd")</f>
        <v/>
      </c>
      <c r="K97">
        <f>HYPERLINK("Not Found")</f>
        <v/>
      </c>
      <c r="L97">
        <f>HYPERLINK("Not Found")</f>
        <v/>
      </c>
      <c r="M97" t="inlineStr">
        <is>
          <t>Milton Keynes, United Kingdom</t>
        </is>
      </c>
      <c r="N97" t="inlineStr">
        <is>
          <t>4</t>
        </is>
      </c>
      <c r="O97" t="inlineStr">
        <is>
          <t>Commercial Real Estate</t>
        </is>
      </c>
      <c r="P97" t="inlineStr">
        <is>
          <t>crm,crm,investment properties,investment properties</t>
        </is>
      </c>
    </row>
    <row r="98">
      <c r="A98" t="inlineStr">
        <is>
          <t>6577fd93037fac019c455a73</t>
        </is>
      </c>
      <c r="B98" t="inlineStr">
        <is>
          <t>Nicola Brown</t>
        </is>
      </c>
      <c r="C98">
        <f>HYPERLINK("http://www.linkedin.com/in/nicolajbrown")</f>
        <v/>
      </c>
      <c r="D98" t="inlineStr">
        <is>
          <t>nicola.brown@welbeck.co.uk</t>
        </is>
      </c>
      <c r="E98" t="inlineStr">
        <is>
          <t>Head of Marketing and Communications</t>
        </is>
      </c>
      <c r="F98">
        <f>HYPERLINK("https://app.apollo.io/#/contacts/6577fd93037fac019c455a73")</f>
        <v/>
      </c>
      <c r="G98" t="inlineStr">
        <is>
          <t>The Welbeck Estates Company Limited</t>
        </is>
      </c>
      <c r="H98">
        <f>HYPERLINK("https://app.apollo.io/#/accounts/6577eafdba5cf5021d65f764")</f>
        <v/>
      </c>
      <c r="I98">
        <f>HYPERLINK("http://www.welbeck.co.uk/")</f>
        <v/>
      </c>
      <c r="J98">
        <f>HYPERLINK("http://www.linkedin.com/company/the-welbeck-estates-company-limited")</f>
        <v/>
      </c>
      <c r="K98">
        <f>HYPERLINK("https://www.twitter.com/welbeckestate")</f>
        <v/>
      </c>
      <c r="L98">
        <f>HYPERLINK("https://www.facebook.com/WelbeckCourtyard/")</f>
        <v/>
      </c>
      <c r="M98" t="inlineStr">
        <is>
          <t>England, United Kingdom</t>
        </is>
      </c>
      <c r="N98" t="inlineStr">
        <is>
          <t>41</t>
        </is>
      </c>
      <c r="O98" t="inlineStr">
        <is>
          <t>Commercial Real Estate</t>
        </is>
      </c>
    </row>
    <row r="99">
      <c r="A99" t="inlineStr">
        <is>
          <t>57e16a12a6da987da4240f27</t>
        </is>
      </c>
      <c r="B99" t="inlineStr">
        <is>
          <t>Hannah Howard</t>
        </is>
      </c>
      <c r="C99">
        <f>HYPERLINK("http://www.linkedin.com/in/hannah-howard-868994a6")</f>
        <v/>
      </c>
      <c r="D99" t="inlineStr">
        <is>
          <t>hannah.howard@grayce.co.uk</t>
        </is>
      </c>
      <c r="E99" t="inlineStr">
        <is>
          <t>Client Partner</t>
        </is>
      </c>
      <c r="F99">
        <f>HYPERLINK("https://app.apollo.io/#/people/57e16a12a6da987da4240f27")</f>
        <v/>
      </c>
      <c r="G99" t="inlineStr">
        <is>
          <t>GRAYCE Property Consultants</t>
        </is>
      </c>
      <c r="H99">
        <f>HYPERLINK("https://app.apollo.io/#/organizations/64be46a462220c000154e472")</f>
        <v/>
      </c>
      <c r="I99">
        <f>HYPERLINK("Not Found")</f>
        <v/>
      </c>
      <c r="J99">
        <f>HYPERLINK("http://www.linkedin.com/company/grayce-real-estate-consultants")</f>
        <v/>
      </c>
      <c r="K99">
        <f>HYPERLINK("Not Found")</f>
        <v/>
      </c>
      <c r="L99">
        <f>HYPERLINK("Not Found")</f>
        <v/>
      </c>
      <c r="M99" t="inlineStr">
        <is>
          <t>Manchester, United Kingdom</t>
        </is>
      </c>
      <c r="N99" t="inlineStr">
        <is>
          <t>17</t>
        </is>
      </c>
      <c r="O99" t="inlineStr">
        <is>
          <t>Commercial Real Estate</t>
        </is>
      </c>
      <c r="P99" t="inlineStr">
        <is>
          <t>property management,property management</t>
        </is>
      </c>
    </row>
    <row r="100">
      <c r="A100" t="inlineStr">
        <is>
          <t>54a48bc474686938acfb5b50</t>
        </is>
      </c>
      <c r="B100" t="inlineStr">
        <is>
          <t>Luke Tillison</t>
        </is>
      </c>
      <c r="C100">
        <f>HYPERLINK("http://www.linkedin.com/in/luke-tillison-01b3a52b")</f>
        <v/>
      </c>
      <c r="D100" t="inlineStr">
        <is>
          <t>luke.tillison@kirkbydiamond.co.uk</t>
        </is>
      </c>
      <c r="E100" t="inlineStr">
        <is>
          <t>Managing Partner</t>
        </is>
      </c>
      <c r="F100">
        <f>HYPERLINK("https://app.apollo.io/#/people/54a48bc474686938acfb5b50")</f>
        <v/>
      </c>
      <c r="G100" t="inlineStr">
        <is>
          <t>Kirkby Diamond</t>
        </is>
      </c>
      <c r="H100">
        <f>HYPERLINK("https://app.apollo.io/#/accounts/6577f4cd37a15e02e633e936")</f>
        <v/>
      </c>
      <c r="I100">
        <f>HYPERLINK("http://www.kirkbydiamond.co.uk/")</f>
        <v/>
      </c>
      <c r="J100">
        <f>HYPERLINK("http://www.linkedin.com/company/kirkby-and-diamond")</f>
        <v/>
      </c>
      <c r="K100">
        <f>HYPERLINK("https://twitter.com/KirkbyDiamond")</f>
        <v/>
      </c>
      <c r="L100">
        <f>HYPERLINK("https://www.facebook.com/kirkbydiamond")</f>
        <v/>
      </c>
      <c r="M100" t="inlineStr">
        <is>
          <t>Milton Keynes, United Kingdom</t>
        </is>
      </c>
      <c r="N100" t="inlineStr">
        <is>
          <t>57</t>
        </is>
      </c>
      <c r="O100" t="inlineStr">
        <is>
          <t>Commercial Real Estate</t>
        </is>
      </c>
      <c r="P100" t="inlineStr">
        <is>
          <t>commercial property services,commercial property services</t>
        </is>
      </c>
    </row>
    <row r="101">
      <c r="A101" t="inlineStr">
        <is>
          <t>54a3e02a74686932093a451a</t>
        </is>
      </c>
      <c r="B101" t="inlineStr">
        <is>
          <t>Nasira Majid</t>
        </is>
      </c>
      <c r="C101">
        <f>HYPERLINK("http://www.linkedin.com/in/nasira-majid-aa38a467")</f>
        <v/>
      </c>
      <c r="D101" t="inlineStr">
        <is>
          <t>nasira@pinproperty.co.uk</t>
        </is>
      </c>
      <c r="E101" t="inlineStr">
        <is>
          <t>Managing Director/ Director Co-Founder Boadicea MN Ltd</t>
        </is>
      </c>
      <c r="F101">
        <f>HYPERLINK("https://app.apollo.io/#/people/54a3e02a74686932093a451a")</f>
        <v/>
      </c>
      <c r="G101" t="inlineStr">
        <is>
          <t>Pin Property</t>
        </is>
      </c>
      <c r="H101">
        <f>HYPERLINK("https://app.apollo.io/#/organizations/55ea6937f3e5bb591800b2bf")</f>
        <v/>
      </c>
      <c r="I101">
        <f>HYPERLINK("http://www.pinproperty.co.uk/")</f>
        <v/>
      </c>
      <c r="J101">
        <f>HYPERLINK("http://www.linkedin.com/company/pin-property")</f>
        <v/>
      </c>
      <c r="K101">
        <f>HYPERLINK("Not Found")</f>
        <v/>
      </c>
      <c r="L101">
        <f>HYPERLINK("Not Found")</f>
        <v/>
      </c>
      <c r="M101" t="inlineStr">
        <is>
          <t>Manchester, United Kingdom</t>
        </is>
      </c>
      <c r="N101" t="inlineStr">
        <is>
          <t>50</t>
        </is>
      </c>
      <c r="O101" t="inlineStr">
        <is>
          <t>Commercial Real Estate</t>
        </is>
      </c>
      <c r="P101" t="inlineStr">
        <is>
          <t>commercial management,commercial management</t>
        </is>
      </c>
    </row>
    <row r="102">
      <c r="A102" t="inlineStr">
        <is>
          <t>6577f44e37a15e011434b0fb</t>
        </is>
      </c>
      <c r="B102" t="inlineStr">
        <is>
          <t>Simon Gouldbourn</t>
        </is>
      </c>
      <c r="C102">
        <f>HYPERLINK("http://www.linkedin.com/in/simongouldbourn")</f>
        <v/>
      </c>
      <c r="D102" t="inlineStr">
        <is>
          <t>sgouldbourn@klmretail.com</t>
        </is>
      </c>
      <c r="E102" t="inlineStr">
        <is>
          <t>Partner</t>
        </is>
      </c>
      <c r="F102">
        <f>HYPERLINK("https://app.apollo.io/#/contacts/6577f44e37a15e011434b0fb")</f>
        <v/>
      </c>
      <c r="G102" t="inlineStr">
        <is>
          <t>KLM Real Estate</t>
        </is>
      </c>
      <c r="H102">
        <f>HYPERLINK("https://app.apollo.io/#/accounts/6577f3c437a15e01983444a0")</f>
        <v/>
      </c>
      <c r="I102">
        <f>HYPERLINK("http://www.klm-re.com/")</f>
        <v/>
      </c>
      <c r="J102">
        <f>HYPERLINK("http://www.linkedin.com/company/klm-realestate")</f>
        <v/>
      </c>
      <c r="K102">
        <f>HYPERLINK("https://twitter.com/klmrealestate")</f>
        <v/>
      </c>
      <c r="L102">
        <f>HYPERLINK("Not Found")</f>
        <v/>
      </c>
      <c r="M102" t="inlineStr">
        <is>
          <t>West End, United Kingdom</t>
        </is>
      </c>
      <c r="N102" t="inlineStr">
        <is>
          <t>25</t>
        </is>
      </c>
      <c r="O102" t="inlineStr">
        <is>
          <t>Commercial Real Estate</t>
        </is>
      </c>
      <c r="P102" t="inlineStr">
        <is>
          <t>agency,agency,investment,investment</t>
        </is>
      </c>
    </row>
    <row r="103">
      <c r="A103" t="inlineStr">
        <is>
          <t>6577f4c737a15e022d340e1f</t>
        </is>
      </c>
      <c r="B103" t="inlineStr">
        <is>
          <t>Josh Beebee</t>
        </is>
      </c>
      <c r="C103">
        <f>HYPERLINK("http://www.linkedin.com/in/josh-beebee-58723325")</f>
        <v/>
      </c>
      <c r="D103" t="inlineStr">
        <is>
          <t>josh.beebee@kimmre.com</t>
        </is>
      </c>
      <c r="E103" t="inlineStr">
        <is>
          <t>Partner</t>
        </is>
      </c>
      <c r="F103">
        <f>HYPERLINK("https://app.apollo.io/#/contacts/6577f4c737a15e022d340e1f")</f>
        <v/>
      </c>
      <c r="G103" t="inlineStr">
        <is>
          <t>Kimmre</t>
        </is>
      </c>
      <c r="H103">
        <f>HYPERLINK("https://app.apollo.io/#/accounts/6577f42037a15e022d340bf9")</f>
        <v/>
      </c>
      <c r="I103">
        <f>HYPERLINK("http://www.kimmre.com/")</f>
        <v/>
      </c>
      <c r="J103">
        <f>HYPERLINK("http://www.linkedin.com/company/kimmre")</f>
        <v/>
      </c>
      <c r="K103">
        <f>HYPERLINK("Not Found")</f>
        <v/>
      </c>
      <c r="L103">
        <f>HYPERLINK("Not Found")</f>
        <v/>
      </c>
      <c r="M103" t="inlineStr">
        <is>
          <t>London, United Kingdom</t>
        </is>
      </c>
      <c r="N103" t="inlineStr">
        <is>
          <t>18</t>
        </is>
      </c>
      <c r="O103" t="inlineStr">
        <is>
          <t>Commercial Real Estate</t>
        </is>
      </c>
      <c r="P103" t="inlineStr">
        <is>
          <t>commercial real estate,commercial real estate</t>
        </is>
      </c>
    </row>
    <row r="104">
      <c r="A104" t="inlineStr">
        <is>
          <t>6577fdd2037fac019c455b65</t>
        </is>
      </c>
      <c r="B104" t="inlineStr">
        <is>
          <t>Anne-Marie Murphy</t>
        </is>
      </c>
      <c r="C104">
        <f>HYPERLINK("http://www.linkedin.com/in/anne-marie-murphy-5469194")</f>
        <v/>
      </c>
      <c r="D104" t="inlineStr">
        <is>
          <t>amm@tavistockbow.com</t>
        </is>
      </c>
      <c r="E104" t="inlineStr">
        <is>
          <t>Partner</t>
        </is>
      </c>
      <c r="F104">
        <f>HYPERLINK("https://app.apollo.io/#/contacts/6577fdd2037fac019c455b65")</f>
        <v/>
      </c>
      <c r="G104" t="inlineStr">
        <is>
          <t>Tavistock Bow</t>
        </is>
      </c>
      <c r="H104">
        <f>HYPERLINK("https://app.apollo.io/#/accounts/6577f41937a15e0198344675")</f>
        <v/>
      </c>
      <c r="I104">
        <f>HYPERLINK("http://www.tavistockbow.com/")</f>
        <v/>
      </c>
      <c r="J104">
        <f>HYPERLINK("http://www.linkedin.com/company/tavistock-bow")</f>
        <v/>
      </c>
      <c r="K104">
        <f>HYPERLINK("https://twitter.com/tavistockbow")</f>
        <v/>
      </c>
      <c r="L104">
        <f>HYPERLINK("https://www.facebook.com/tavistockbow")</f>
        <v/>
      </c>
      <c r="M104" t="inlineStr">
        <is>
          <t>London, United Kingdom</t>
        </is>
      </c>
      <c r="N104" t="inlineStr">
        <is>
          <t>9</t>
        </is>
      </c>
      <c r="O104" t="inlineStr">
        <is>
          <t>Commercial Real Estate</t>
        </is>
      </c>
      <c r="P104" t="inlineStr">
        <is>
          <t>commercial real estate,commercial real estate</t>
        </is>
      </c>
    </row>
    <row r="105">
      <c r="A105" t="inlineStr">
        <is>
          <t>6577fdc9037fac02ac45426e</t>
        </is>
      </c>
      <c r="B105" t="inlineStr">
        <is>
          <t>Edward Gamble</t>
        </is>
      </c>
      <c r="C105">
        <f>HYPERLINK("http://www.linkedin.com/in/edward-gamble-617381148")</f>
        <v/>
      </c>
      <c r="D105" t="inlineStr">
        <is>
          <t>edward.gamble@acrellp.com</t>
        </is>
      </c>
      <c r="E105" t="inlineStr">
        <is>
          <t>Partner</t>
        </is>
      </c>
      <c r="F105">
        <f>HYPERLINK("https://app.apollo.io/#/contacts/6577fdc9037fac02ac45426e")</f>
        <v/>
      </c>
      <c r="G105" t="inlineStr">
        <is>
          <t>ACRE Capital Real Estate LLP</t>
        </is>
      </c>
      <c r="H105">
        <f>HYPERLINK("https://app.apollo.io/#/accounts/6577f48137a15e02e633e8a9")</f>
        <v/>
      </c>
      <c r="I105">
        <f>HYPERLINK("http://www.acrellp.com/")</f>
        <v/>
      </c>
      <c r="J105">
        <f>HYPERLINK("http://www.linkedin.com/company/acre-capital-real-estate-llp")</f>
        <v/>
      </c>
      <c r="K105">
        <f>HYPERLINK("Not Found")</f>
        <v/>
      </c>
      <c r="L105">
        <f>HYPERLINK("Not Found")</f>
        <v/>
      </c>
      <c r="M105" t="inlineStr">
        <is>
          <t>London, United Kingdom</t>
        </is>
      </c>
      <c r="N105" t="inlineStr">
        <is>
          <t>20</t>
        </is>
      </c>
      <c r="O105" t="inlineStr">
        <is>
          <t>Commercial Real Estate</t>
        </is>
      </c>
      <c r="P105" t="inlineStr">
        <is>
          <t>commercial real estate,commercial real estate</t>
        </is>
      </c>
    </row>
    <row r="106">
      <c r="A106" t="inlineStr">
        <is>
          <t>6577fdac037fac0114456eab</t>
        </is>
      </c>
      <c r="B106" t="inlineStr">
        <is>
          <t>Simon Lloyd</t>
        </is>
      </c>
      <c r="C106">
        <f>HYPERLINK("http://www.linkedin.com/in/simon-lloyd-1aa38622")</f>
        <v/>
      </c>
      <c r="D106" t="inlineStr">
        <is>
          <t>simon.lloyd@cushwake.com</t>
        </is>
      </c>
      <c r="E106" t="inlineStr">
        <is>
          <t>Partner</t>
        </is>
      </c>
      <c r="F106">
        <f>HYPERLINK("https://app.apollo.io/#/contacts/6577fdac037fac0114456eab")</f>
        <v/>
      </c>
      <c r="G106" t="inlineStr">
        <is>
          <t>Cushman &amp; Wakefield - Formerly DTZ</t>
        </is>
      </c>
      <c r="H106">
        <f>HYPERLINK("https://app.apollo.io/#/accounts/6577f3bd37a15e02e633e739")</f>
        <v/>
      </c>
      <c r="I106">
        <f>HYPERLINK("http://www.cushwake.com/")</f>
        <v/>
      </c>
      <c r="J106">
        <f>HYPERLINK("http://www.linkedin.com/company/dtz")</f>
        <v/>
      </c>
      <c r="K106">
        <f>HYPERLINK("Not Found")</f>
        <v/>
      </c>
      <c r="L106">
        <f>HYPERLINK("Not Found")</f>
        <v/>
      </c>
      <c r="M106" t="inlineStr">
        <is>
          <t>England, United Kingdom</t>
        </is>
      </c>
      <c r="N106" t="inlineStr">
        <is>
          <t>3,800</t>
        </is>
      </c>
      <c r="O106" t="inlineStr">
        <is>
          <t>Commercial Real Estate</t>
        </is>
      </c>
      <c r="P106" t="inlineStr">
        <is>
          <t>agency leasing,agency leasing,capital markets,capital markets</t>
        </is>
      </c>
    </row>
    <row r="107">
      <c r="A107" t="inlineStr">
        <is>
          <t>6578029a42fe9f02033f7c1e</t>
        </is>
      </c>
      <c r="B107" t="inlineStr">
        <is>
          <t>George Wilson</t>
        </is>
      </c>
      <c r="C107">
        <f>HYPERLINK("http://www.linkedin.com/in/george-wilson-a06232162")</f>
        <v/>
      </c>
      <c r="D107" t="inlineStr">
        <is>
          <t>george.wilson@acrellp.com</t>
        </is>
      </c>
      <c r="E107" t="inlineStr">
        <is>
          <t>Partner</t>
        </is>
      </c>
      <c r="F107">
        <f>HYPERLINK("https://app.apollo.io/#/contacts/6578029a42fe9f02033f7c1e")</f>
        <v/>
      </c>
      <c r="G107" t="inlineStr">
        <is>
          <t>ACRE Capital Real Estate LLP</t>
        </is>
      </c>
      <c r="H107">
        <f>HYPERLINK("https://app.apollo.io/#/accounts/6577f48137a15e02e633e8a9")</f>
        <v/>
      </c>
      <c r="I107">
        <f>HYPERLINK("http://www.acrellp.com/")</f>
        <v/>
      </c>
      <c r="J107">
        <f>HYPERLINK("http://www.linkedin.com/company/acre-capital-real-estate-llp")</f>
        <v/>
      </c>
      <c r="K107">
        <f>HYPERLINK("Not Found")</f>
        <v/>
      </c>
      <c r="L107">
        <f>HYPERLINK("Not Found")</f>
        <v/>
      </c>
      <c r="M107" t="inlineStr">
        <is>
          <t>London, United Kingdom</t>
        </is>
      </c>
      <c r="N107" t="inlineStr">
        <is>
          <t>20</t>
        </is>
      </c>
      <c r="O107" t="inlineStr">
        <is>
          <t>Commercial Real Estate</t>
        </is>
      </c>
      <c r="P107" t="inlineStr">
        <is>
          <t>commercial real estate,commercial real estate</t>
        </is>
      </c>
    </row>
    <row r="108">
      <c r="A108" t="inlineStr">
        <is>
          <t>6578029e42fe9f02bd3f6feb</t>
        </is>
      </c>
      <c r="B108" t="inlineStr">
        <is>
          <t>Stephen Hobbs</t>
        </is>
      </c>
      <c r="C108">
        <f>HYPERLINK("http://www.linkedin.com/in/stephen-hobbs-38ba8950")</f>
        <v/>
      </c>
      <c r="D108" t="inlineStr">
        <is>
          <t>shobbs@vailwilliams.com</t>
        </is>
      </c>
      <c r="E108" t="inlineStr">
        <is>
          <t>Partner</t>
        </is>
      </c>
      <c r="F108">
        <f>HYPERLINK("https://app.apollo.io/#/contacts/6578029e42fe9f02bd3f6feb")</f>
        <v/>
      </c>
      <c r="G108" t="inlineStr">
        <is>
          <t>Vail Williams</t>
        </is>
      </c>
      <c r="H108">
        <f>HYPERLINK("https://app.apollo.io/#/accounts/6577f2d837a15e011434a82f")</f>
        <v/>
      </c>
      <c r="I108">
        <f>HYPERLINK("http://www.vailwilliams.com/")</f>
        <v/>
      </c>
      <c r="J108">
        <f>HYPERLINK("http://www.linkedin.com/company/vail-williams")</f>
        <v/>
      </c>
      <c r="K108">
        <f>HYPERLINK("https://twitter.com/vailwilliams")</f>
        <v/>
      </c>
      <c r="L108">
        <f>HYPERLINK("https://www.facebook.com/vailwilliams")</f>
        <v/>
      </c>
      <c r="M108" t="inlineStr">
        <is>
          <t>England, United Kingdom</t>
        </is>
      </c>
      <c r="N108" t="inlineStr">
        <is>
          <t>200</t>
        </is>
      </c>
      <c r="O108" t="inlineStr">
        <is>
          <t>Commercial Real Estate</t>
        </is>
      </c>
      <c r="P108" t="inlineStr">
        <is>
          <t>real estate,real estate,real estate agents,real estate agents</t>
        </is>
      </c>
    </row>
    <row r="109">
      <c r="A109" t="inlineStr">
        <is>
          <t>657802af42fe9f00fc3fbb0b</t>
        </is>
      </c>
      <c r="B109" t="inlineStr">
        <is>
          <t>Gregory Stalcup</t>
        </is>
      </c>
      <c r="C109">
        <f>HYPERLINK("http://www.linkedin.com/in/gregory-stalcup-05728315")</f>
        <v/>
      </c>
      <c r="D109" t="inlineStr">
        <is>
          <t>greg.stalcup@levyrealestate.co.uk</t>
        </is>
      </c>
      <c r="E109" t="inlineStr">
        <is>
          <t>Partner</t>
        </is>
      </c>
      <c r="F109">
        <f>HYPERLINK("https://app.apollo.io/#/contacts/657802af42fe9f00fc3fbb0b")</f>
        <v/>
      </c>
      <c r="G109" t="inlineStr">
        <is>
          <t>Levy Real Estate</t>
        </is>
      </c>
      <c r="H109">
        <f>HYPERLINK("https://app.apollo.io/#/accounts/6577f46e37a15e011434b20c")</f>
        <v/>
      </c>
      <c r="I109">
        <f>HYPERLINK("http://www.levyrealestate.co.uk/")</f>
        <v/>
      </c>
      <c r="J109">
        <f>HYPERLINK("http://www.linkedin.com/company/levyrealestate")</f>
        <v/>
      </c>
      <c r="K109">
        <f>HYPERLINK("Not Found")</f>
        <v/>
      </c>
      <c r="L109">
        <f>HYPERLINK("Not Found")</f>
        <v/>
      </c>
      <c r="M109" t="inlineStr">
        <is>
          <t>West End, United Kingdom</t>
        </is>
      </c>
      <c r="N109" t="inlineStr">
        <is>
          <t>50</t>
        </is>
      </c>
      <c r="O109" t="inlineStr">
        <is>
          <t>Commercial Real Estate</t>
        </is>
      </c>
    </row>
    <row r="110">
      <c r="A110" t="inlineStr">
        <is>
          <t>6577f4a137a15e03c433dbf9</t>
        </is>
      </c>
      <c r="B110" t="inlineStr">
        <is>
          <t>Ian Golbourn</t>
        </is>
      </c>
      <c r="C110">
        <f>HYPERLINK("http://www.linkedin.com/in/ian-golbourn-b33aa7166")</f>
        <v/>
      </c>
      <c r="D110" t="inlineStr">
        <is>
          <t>ian.golbourn@levyrealestate.co.uk</t>
        </is>
      </c>
      <c r="E110" t="inlineStr">
        <is>
          <t>Partner</t>
        </is>
      </c>
      <c r="F110">
        <f>HYPERLINK("https://app.apollo.io/#/contacts/6577f4a137a15e03c433dbf9")</f>
        <v/>
      </c>
      <c r="G110" t="inlineStr">
        <is>
          <t>Levy Real Estate</t>
        </is>
      </c>
      <c r="H110">
        <f>HYPERLINK("https://app.apollo.io/#/accounts/6577f46e37a15e011434b20c")</f>
        <v/>
      </c>
      <c r="I110">
        <f>HYPERLINK("http://www.levyrealestate.co.uk/")</f>
        <v/>
      </c>
      <c r="J110">
        <f>HYPERLINK("http://www.linkedin.com/company/levyrealestate")</f>
        <v/>
      </c>
      <c r="K110">
        <f>HYPERLINK("Not Found")</f>
        <v/>
      </c>
      <c r="L110">
        <f>HYPERLINK("Not Found")</f>
        <v/>
      </c>
      <c r="M110" t="inlineStr">
        <is>
          <t>London, United Kingdom</t>
        </is>
      </c>
      <c r="N110" t="inlineStr">
        <is>
          <t>50</t>
        </is>
      </c>
      <c r="O110" t="inlineStr">
        <is>
          <t>Commercial Real Estate</t>
        </is>
      </c>
    </row>
    <row r="111">
      <c r="A111" t="inlineStr">
        <is>
          <t>6577f49537a15e0198344947</t>
        </is>
      </c>
      <c r="B111" t="inlineStr">
        <is>
          <t>Tom Jamson</t>
        </is>
      </c>
      <c r="C111">
        <f>HYPERLINK("http://www.linkedin.com/in/tomjamson")</f>
        <v/>
      </c>
      <c r="D111" t="inlineStr">
        <is>
          <t>tjamson@klmretail.com</t>
        </is>
      </c>
      <c r="E111" t="inlineStr">
        <is>
          <t>Partner</t>
        </is>
      </c>
      <c r="F111">
        <f>HYPERLINK("https://app.apollo.io/#/contacts/6577f49537a15e0198344947")</f>
        <v/>
      </c>
      <c r="G111" t="inlineStr">
        <is>
          <t>KLM Real Estate</t>
        </is>
      </c>
      <c r="H111">
        <f>HYPERLINK("https://app.apollo.io/#/accounts/6577f3c437a15e01983444a0")</f>
        <v/>
      </c>
      <c r="I111">
        <f>HYPERLINK("http://www.klm-re.com/")</f>
        <v/>
      </c>
      <c r="J111">
        <f>HYPERLINK("http://www.linkedin.com/company/klm-realestate")</f>
        <v/>
      </c>
      <c r="K111">
        <f>HYPERLINK("https://twitter.com/klmrealestate")</f>
        <v/>
      </c>
      <c r="L111">
        <f>HYPERLINK("Not Found")</f>
        <v/>
      </c>
      <c r="M111" t="inlineStr">
        <is>
          <t>London, United Kingdom</t>
        </is>
      </c>
      <c r="N111" t="inlineStr">
        <is>
          <t>25</t>
        </is>
      </c>
      <c r="O111" t="inlineStr">
        <is>
          <t>Commercial Real Estate</t>
        </is>
      </c>
      <c r="P111" t="inlineStr">
        <is>
          <t>agency,agency,investment,investment</t>
        </is>
      </c>
    </row>
    <row r="112">
      <c r="A112" t="inlineStr">
        <is>
          <t>6577fdba037fac019c455b06</t>
        </is>
      </c>
      <c r="B112" t="inlineStr">
        <is>
          <t>Guy Parkes</t>
        </is>
      </c>
      <c r="C112">
        <f>HYPERLINK("http://www.linkedin.com/in/guy-parkes-564bb624")</f>
        <v/>
      </c>
      <c r="D112" t="inlineStr">
        <is>
          <t>gparkes@vailwilliams.com</t>
        </is>
      </c>
      <c r="E112" t="inlineStr">
        <is>
          <t>Partner</t>
        </is>
      </c>
      <c r="F112">
        <f>HYPERLINK("https://app.apollo.io/#/contacts/6577fdba037fac019c455b06")</f>
        <v/>
      </c>
      <c r="G112" t="inlineStr">
        <is>
          <t>Vail Williams</t>
        </is>
      </c>
      <c r="H112">
        <f>HYPERLINK("https://app.apollo.io/#/accounts/6577f2d837a15e011434a82f")</f>
        <v/>
      </c>
      <c r="I112">
        <f>HYPERLINK("http://www.vailwilliams.com/")</f>
        <v/>
      </c>
      <c r="J112">
        <f>HYPERLINK("http://www.linkedin.com/company/vail-williams")</f>
        <v/>
      </c>
      <c r="K112">
        <f>HYPERLINK("https://twitter.com/vailwilliams")</f>
        <v/>
      </c>
      <c r="L112">
        <f>HYPERLINK("https://www.facebook.com/vailwilliams")</f>
        <v/>
      </c>
      <c r="M112" t="inlineStr">
        <is>
          <t>Reading, United Kingdom</t>
        </is>
      </c>
      <c r="N112" t="inlineStr">
        <is>
          <t>200</t>
        </is>
      </c>
      <c r="O112" t="inlineStr">
        <is>
          <t>Commercial Real Estate</t>
        </is>
      </c>
      <c r="P112" t="inlineStr">
        <is>
          <t>real estate,real estate,real estate agents,real estate agents</t>
        </is>
      </c>
    </row>
    <row r="113">
      <c r="A113" t="inlineStr">
        <is>
          <t>6578034fa2ca0200fc59faa4</t>
        </is>
      </c>
      <c r="B113" t="inlineStr">
        <is>
          <t>Richard Peace</t>
        </is>
      </c>
      <c r="C113">
        <f>HYPERLINK("http://www.linkedin.com/in/richard-peace-9a140819")</f>
        <v/>
      </c>
      <c r="D113" t="inlineStr">
        <is>
          <t>richard.peace@kimmre.com</t>
        </is>
      </c>
      <c r="E113" t="inlineStr">
        <is>
          <t>Partner</t>
        </is>
      </c>
      <c r="F113">
        <f>HYPERLINK("https://app.apollo.io/#/contacts/6578034fa2ca0200fc59faa4")</f>
        <v/>
      </c>
      <c r="G113" t="inlineStr">
        <is>
          <t>Kimmre</t>
        </is>
      </c>
      <c r="H113">
        <f>HYPERLINK("https://app.apollo.io/#/accounts/6577f42037a15e022d340bf9")</f>
        <v/>
      </c>
      <c r="I113">
        <f>HYPERLINK("http://www.kimmre.com/")</f>
        <v/>
      </c>
      <c r="J113">
        <f>HYPERLINK("http://www.linkedin.com/company/kimmre")</f>
        <v/>
      </c>
      <c r="K113">
        <f>HYPERLINK("Not Found")</f>
        <v/>
      </c>
      <c r="L113">
        <f>HYPERLINK("Not Found")</f>
        <v/>
      </c>
      <c r="M113" t="inlineStr">
        <is>
          <t>London, United Kingdom</t>
        </is>
      </c>
      <c r="N113" t="inlineStr">
        <is>
          <t>18</t>
        </is>
      </c>
      <c r="O113" t="inlineStr">
        <is>
          <t>Commercial Real Estate</t>
        </is>
      </c>
      <c r="P113" t="inlineStr">
        <is>
          <t>commercial real estate,commercial real estate</t>
        </is>
      </c>
    </row>
    <row r="114">
      <c r="A114" t="inlineStr">
        <is>
          <t>6578036ba2ca02018059d21e</t>
        </is>
      </c>
      <c r="B114" t="inlineStr">
        <is>
          <t>John Collis</t>
        </is>
      </c>
      <c r="C114">
        <f>HYPERLINK("http://www.linkedin.com/in/john-collis-90a38a79")</f>
        <v/>
      </c>
      <c r="D114" t="inlineStr">
        <is>
          <t>john.collis@partners-cap.com</t>
        </is>
      </c>
      <c r="E114" t="inlineStr">
        <is>
          <t>Partner</t>
        </is>
      </c>
      <c r="F114">
        <f>HYPERLINK("https://app.apollo.io/#/contacts/6578036ba2ca02018059d21e")</f>
        <v/>
      </c>
      <c r="G114" t="inlineStr">
        <is>
          <t>Partners Capital</t>
        </is>
      </c>
      <c r="H114">
        <f>HYPERLINK("https://app.apollo.io/#/accounts/6578036ba2ca02018059d220")</f>
        <v/>
      </c>
      <c r="I114">
        <f>HYPERLINK("http://www.partners-cap.com/")</f>
        <v/>
      </c>
      <c r="J114">
        <f>HYPERLINK("http://www.linkedin.com/company/partnerscapital")</f>
        <v/>
      </c>
      <c r="K114">
        <f>HYPERLINK("Not Found")</f>
        <v/>
      </c>
      <c r="L114">
        <f>HYPERLINK("Not Found")</f>
        <v/>
      </c>
      <c r="M114" t="inlineStr">
        <is>
          <t>United Kingdom</t>
        </is>
      </c>
      <c r="N114" t="inlineStr">
        <is>
          <t>10</t>
        </is>
      </c>
      <c r="O114" t="inlineStr">
        <is>
          <t>Commercial Real Estate</t>
        </is>
      </c>
    </row>
    <row r="115">
      <c r="A115" t="inlineStr">
        <is>
          <t>6577f42037a15e022d340bf7</t>
        </is>
      </c>
      <c r="B115" t="inlineStr">
        <is>
          <t>Mike Burden</t>
        </is>
      </c>
      <c r="C115">
        <f>HYPERLINK("http://www.linkedin.com/in/mburden")</f>
        <v/>
      </c>
      <c r="D115" t="inlineStr">
        <is>
          <t>mike.burden@kimmre.com</t>
        </is>
      </c>
      <c r="E115" t="inlineStr">
        <is>
          <t>Partner</t>
        </is>
      </c>
      <c r="F115">
        <f>HYPERLINK("https://app.apollo.io/#/contacts/6577f42037a15e022d340bf7")</f>
        <v/>
      </c>
      <c r="G115" t="inlineStr">
        <is>
          <t>Kimmre</t>
        </is>
      </c>
      <c r="H115">
        <f>HYPERLINK("https://app.apollo.io/#/accounts/6577f42037a15e022d340bf9")</f>
        <v/>
      </c>
      <c r="I115">
        <f>HYPERLINK("http://www.kimmre.com/")</f>
        <v/>
      </c>
      <c r="J115">
        <f>HYPERLINK("http://www.linkedin.com/company/kimmre")</f>
        <v/>
      </c>
      <c r="K115">
        <f>HYPERLINK("Not Found")</f>
        <v/>
      </c>
      <c r="L115">
        <f>HYPERLINK("Not Found")</f>
        <v/>
      </c>
      <c r="M115" t="inlineStr">
        <is>
          <t>London, United Kingdom</t>
        </is>
      </c>
      <c r="N115" t="inlineStr">
        <is>
          <t>18</t>
        </is>
      </c>
      <c r="O115" t="inlineStr">
        <is>
          <t>Commercial Real Estate</t>
        </is>
      </c>
      <c r="P115" t="inlineStr">
        <is>
          <t>commercial real estate,commercial real estate</t>
        </is>
      </c>
    </row>
    <row r="116">
      <c r="A116" t="inlineStr">
        <is>
          <t>6577f3a537a15e011434ac82</t>
        </is>
      </c>
      <c r="B116" t="inlineStr">
        <is>
          <t>David Barden</t>
        </is>
      </c>
      <c r="C116">
        <f>HYPERLINK("http://www.linkedin.com/in/davidbarden1")</f>
        <v/>
      </c>
      <c r="D116" t="inlineStr">
        <is>
          <t>dbarden@vailwilliams.com</t>
        </is>
      </c>
      <c r="E116" t="inlineStr">
        <is>
          <t>Partner</t>
        </is>
      </c>
      <c r="F116">
        <f>HYPERLINK("https://app.apollo.io/#/contacts/6577f3a537a15e011434ac82")</f>
        <v/>
      </c>
      <c r="G116" t="inlineStr">
        <is>
          <t>Vail Williams</t>
        </is>
      </c>
      <c r="H116">
        <f>HYPERLINK("https://app.apollo.io/#/accounts/6577f2d837a15e011434a82f")</f>
        <v/>
      </c>
      <c r="I116">
        <f>HYPERLINK("http://www.vailwilliams.com/")</f>
        <v/>
      </c>
      <c r="J116">
        <f>HYPERLINK("http://www.linkedin.com/company/vail-williams")</f>
        <v/>
      </c>
      <c r="K116">
        <f>HYPERLINK("https://twitter.com/vailwilliams")</f>
        <v/>
      </c>
      <c r="L116">
        <f>HYPERLINK("https://www.facebook.com/vailwilliams")</f>
        <v/>
      </c>
      <c r="M116" t="inlineStr">
        <is>
          <t>Reading, United Kingdom</t>
        </is>
      </c>
      <c r="N116" t="inlineStr">
        <is>
          <t>200</t>
        </is>
      </c>
      <c r="O116" t="inlineStr">
        <is>
          <t>Commercial Real Estate</t>
        </is>
      </c>
      <c r="P116" t="inlineStr">
        <is>
          <t>real estate,real estate,real estate agents,real estate agents</t>
        </is>
      </c>
    </row>
    <row r="117">
      <c r="A117" t="inlineStr">
        <is>
          <t>6577f3ab37a15e022d340abb</t>
        </is>
      </c>
      <c r="B117" t="inlineStr">
        <is>
          <t>Ian McRae</t>
        </is>
      </c>
      <c r="C117">
        <f>HYPERLINK("http://www.linkedin.com/in/ian-mcrae-3984a")</f>
        <v/>
      </c>
      <c r="D117" t="inlineStr">
        <is>
          <t>icm@cmcre.co.uk</t>
        </is>
      </c>
      <c r="E117" t="inlineStr">
        <is>
          <t>Partner</t>
        </is>
      </c>
      <c r="F117">
        <f>HYPERLINK("https://app.apollo.io/#/contacts/6577f3ab37a15e022d340abb")</f>
        <v/>
      </c>
      <c r="G117" t="inlineStr">
        <is>
          <t>Chadwick McRae</t>
        </is>
      </c>
      <c r="H117">
        <f>HYPERLINK("https://app.apollo.io/#/accounts/6577f3ab37a15e022d340abc")</f>
        <v/>
      </c>
      <c r="I117">
        <f>HYPERLINK("http://www.cmcre.co.uk/")</f>
        <v/>
      </c>
      <c r="J117">
        <f>HYPERLINK("http://www.linkedin.com/company/chadwick-mcrae")</f>
        <v/>
      </c>
      <c r="K117">
        <f>HYPERLINK("Not Found")</f>
        <v/>
      </c>
      <c r="L117">
        <f>HYPERLINK("Not Found")</f>
        <v/>
      </c>
      <c r="M117" t="inlineStr">
        <is>
          <t>Northampton, United Kingdom</t>
        </is>
      </c>
      <c r="N117" t="inlineStr">
        <is>
          <t>1</t>
        </is>
      </c>
      <c r="O117" t="inlineStr">
        <is>
          <t>Commercial Real Estate</t>
        </is>
      </c>
      <c r="P117" t="inlineStr">
        <is>
          <t>warehouse property,warehouse property</t>
        </is>
      </c>
    </row>
    <row r="118">
      <c r="A118" t="inlineStr">
        <is>
          <t>657802c442fe9f00fc3fbb9d</t>
        </is>
      </c>
      <c r="B118" t="inlineStr">
        <is>
          <t>Gavin Rees</t>
        </is>
      </c>
      <c r="C118">
        <f>HYPERLINK("http://www.linkedin.com/in/gavin-rees-35b4721b")</f>
        <v/>
      </c>
      <c r="D118" t="inlineStr">
        <is>
          <t>gavinrees@hrt.uk.com</t>
        </is>
      </c>
      <c r="E118" t="inlineStr">
        <is>
          <t>Partner</t>
        </is>
      </c>
      <c r="F118">
        <f>HYPERLINK("https://app.apollo.io/#/contacts/657802c442fe9f00fc3fbb9d")</f>
        <v/>
      </c>
      <c r="G118" t="inlineStr">
        <is>
          <t>Herbert R Thomas</t>
        </is>
      </c>
      <c r="H118">
        <f>HYPERLINK("https://app.apollo.io/#/accounts/657802b742fe9f01803f8d52")</f>
        <v/>
      </c>
      <c r="I118">
        <f>HYPERLINK("http://www.hrt.uk.com/")</f>
        <v/>
      </c>
      <c r="J118">
        <f>HYPERLINK("http://www.linkedin.com/company/herbert-r-thomas")</f>
        <v/>
      </c>
      <c r="K118">
        <f>HYPERLINK("https://twitter.com/HerbertRThomas")</f>
        <v/>
      </c>
      <c r="L118">
        <f>HYPERLINK("https://www.facebook.com/Herbert-R-Thomas-247651058594338/")</f>
        <v/>
      </c>
      <c r="M118" t="inlineStr">
        <is>
          <t>Cardiff, United Kingdom</t>
        </is>
      </c>
      <c r="N118" t="inlineStr">
        <is>
          <t>34</t>
        </is>
      </c>
      <c r="O118" t="inlineStr">
        <is>
          <t>Commercial Real Estate</t>
        </is>
      </c>
      <c r="P118" t="inlineStr">
        <is>
          <t>surveying,surveying,valuers,valuers,estate agents,estate agents</t>
        </is>
      </c>
    </row>
    <row r="119">
      <c r="A119" t="inlineStr">
        <is>
          <t>657802cd42fe9f02033f7c4b</t>
        </is>
      </c>
      <c r="B119" t="inlineStr">
        <is>
          <t>Nathan Andrews</t>
        </is>
      </c>
      <c r="C119">
        <f>HYPERLINK("http://www.linkedin.com/in/nathan-andrews-0a5094124")</f>
        <v/>
      </c>
      <c r="D119" t="inlineStr">
        <is>
          <t>nathan.andrews@kirkbydiamond.co.uk</t>
        </is>
      </c>
      <c r="E119" t="inlineStr">
        <is>
          <t>Partner</t>
        </is>
      </c>
      <c r="F119">
        <f>HYPERLINK("https://app.apollo.io/#/contacts/657802cd42fe9f02033f7c4b")</f>
        <v/>
      </c>
      <c r="G119" t="inlineStr">
        <is>
          <t>Kirkby Diamond</t>
        </is>
      </c>
      <c r="H119">
        <f>HYPERLINK("https://app.apollo.io/#/accounts/6577f4cd37a15e02e633e936")</f>
        <v/>
      </c>
      <c r="I119">
        <f>HYPERLINK("http://www.kirkbydiamond.co.uk/")</f>
        <v/>
      </c>
      <c r="J119">
        <f>HYPERLINK("http://www.linkedin.com/company/kirkby-and-diamond")</f>
        <v/>
      </c>
      <c r="K119">
        <f>HYPERLINK("https://twitter.com/KirkbyDiamond")</f>
        <v/>
      </c>
      <c r="L119">
        <f>HYPERLINK("https://www.facebook.com/kirkbydiamond")</f>
        <v/>
      </c>
      <c r="M119" t="inlineStr">
        <is>
          <t>Milton Keynes, United Kingdom</t>
        </is>
      </c>
      <c r="N119" t="inlineStr">
        <is>
          <t>57</t>
        </is>
      </c>
      <c r="O119" t="inlineStr">
        <is>
          <t>Commercial Real Estate</t>
        </is>
      </c>
      <c r="P119" t="inlineStr">
        <is>
          <t>commercial property services,commercial property services</t>
        </is>
      </c>
    </row>
    <row r="120">
      <c r="A120" t="inlineStr">
        <is>
          <t>6577f3b737a15e022d340ad7</t>
        </is>
      </c>
      <c r="B120" t="inlineStr">
        <is>
          <t>Peter Sudworth</t>
        </is>
      </c>
      <c r="C120">
        <f>HYPERLINK("http://www.linkedin.com/in/petersudworth")</f>
        <v/>
      </c>
      <c r="D120" t="inlineStr">
        <is>
          <t>psudworth@vailwilliams.com</t>
        </is>
      </c>
      <c r="E120" t="inlineStr">
        <is>
          <t>Partner</t>
        </is>
      </c>
      <c r="F120">
        <f>HYPERLINK("https://app.apollo.io/#/contacts/6577f3b737a15e022d340ad7")</f>
        <v/>
      </c>
      <c r="G120" t="inlineStr">
        <is>
          <t>Vail Williams</t>
        </is>
      </c>
      <c r="H120">
        <f>HYPERLINK("https://app.apollo.io/#/accounts/6577f2d837a15e011434a82f")</f>
        <v/>
      </c>
      <c r="I120">
        <f>HYPERLINK("http://www.vailwilliams.com/")</f>
        <v/>
      </c>
      <c r="J120">
        <f>HYPERLINK("http://www.linkedin.com/company/vail-williams")</f>
        <v/>
      </c>
      <c r="K120">
        <f>HYPERLINK("https://twitter.com/vailwilliams")</f>
        <v/>
      </c>
      <c r="L120">
        <f>HYPERLINK("https://www.facebook.com/vailwilliams")</f>
        <v/>
      </c>
      <c r="M120" t="inlineStr">
        <is>
          <t>Crawley, United Kingdom</t>
        </is>
      </c>
      <c r="N120" t="inlineStr">
        <is>
          <t>200</t>
        </is>
      </c>
      <c r="O120" t="inlineStr">
        <is>
          <t>Commercial Real Estate</t>
        </is>
      </c>
      <c r="P120" t="inlineStr">
        <is>
          <t>real estate,real estate,real estate agents,real estate agents</t>
        </is>
      </c>
    </row>
    <row r="121">
      <c r="A121" t="inlineStr">
        <is>
          <t>6577f3de37a15e01983444e7</t>
        </is>
      </c>
      <c r="B121" t="inlineStr">
        <is>
          <t>Jessica Steevens</t>
        </is>
      </c>
      <c r="C121">
        <f>HYPERLINK("http://www.linkedin.com/in/jessica-steevens-72679618")</f>
        <v/>
      </c>
      <c r="D121" t="inlineStr">
        <is>
          <t>jessica.steevens@cushwake.com</t>
        </is>
      </c>
      <c r="E121" t="inlineStr">
        <is>
          <t>Partner</t>
        </is>
      </c>
      <c r="F121">
        <f>HYPERLINK("https://app.apollo.io/#/contacts/6577f3de37a15e01983444e7")</f>
        <v/>
      </c>
      <c r="G121" t="inlineStr">
        <is>
          <t>Cushman &amp; Wakefield - Formerly DTZ</t>
        </is>
      </c>
      <c r="H121">
        <f>HYPERLINK("https://app.apollo.io/#/accounts/6577f3bd37a15e02e633e739")</f>
        <v/>
      </c>
      <c r="I121">
        <f>HYPERLINK("http://www.cushwake.com/")</f>
        <v/>
      </c>
      <c r="J121">
        <f>HYPERLINK("http://www.linkedin.com/company/dtz")</f>
        <v/>
      </c>
      <c r="K121">
        <f>HYPERLINK("Not Found")</f>
        <v/>
      </c>
      <c r="L121">
        <f>HYPERLINK("Not Found")</f>
        <v/>
      </c>
      <c r="M121" t="inlineStr">
        <is>
          <t>Bristol, United Kingdom</t>
        </is>
      </c>
      <c r="N121" t="inlineStr">
        <is>
          <t>3,800</t>
        </is>
      </c>
      <c r="O121" t="inlineStr">
        <is>
          <t>Commercial Real Estate</t>
        </is>
      </c>
      <c r="P121" t="inlineStr">
        <is>
          <t>agency leasing,agency leasing,capital markets,capital markets</t>
        </is>
      </c>
    </row>
    <row r="122">
      <c r="A122" t="inlineStr">
        <is>
          <t>6577fdcd037fac019c455b58</t>
        </is>
      </c>
      <c r="B122" t="inlineStr">
        <is>
          <t>Ross Donaldson</t>
        </is>
      </c>
      <c r="C122">
        <f>HYPERLINK("http://www.linkedin.com/in/ross-donaldson-b662a41b")</f>
        <v/>
      </c>
      <c r="D122" t="inlineStr">
        <is>
          <t>ross@reithlambert.co.uk</t>
        </is>
      </c>
      <c r="E122" t="inlineStr">
        <is>
          <t>Partner</t>
        </is>
      </c>
      <c r="F122">
        <f>HYPERLINK("https://app.apollo.io/#/contacts/6577fdcd037fac019c455b58")</f>
        <v/>
      </c>
      <c r="G122" t="inlineStr">
        <is>
          <t>REITH LAMBERT</t>
        </is>
      </c>
      <c r="H122">
        <f>HYPERLINK("https://app.apollo.io/#/accounts/6577fdcd037fac019c455b5a")</f>
        <v/>
      </c>
      <c r="I122">
        <f>HYPERLINK("http://www.reithlambert.co.uk/")</f>
        <v/>
      </c>
      <c r="J122">
        <f>HYPERLINK("http://www.linkedin.com/company/reith-lambert-ltd-")</f>
        <v/>
      </c>
      <c r="K122">
        <f>HYPERLINK("Not Found")</f>
        <v/>
      </c>
      <c r="L122">
        <f>HYPERLINK("Not Found")</f>
        <v/>
      </c>
      <c r="M122" t="inlineStr">
        <is>
          <t>Glasgow, United Kingdom</t>
        </is>
      </c>
      <c r="N122" t="inlineStr">
        <is>
          <t>37</t>
        </is>
      </c>
      <c r="O122" t="inlineStr">
        <is>
          <t>Commercial Real Estate</t>
        </is>
      </c>
      <c r="P122" t="inlineStr">
        <is>
          <t>capital markets,capital markets,retail,retail</t>
        </is>
      </c>
    </row>
    <row r="123">
      <c r="A123" t="inlineStr">
        <is>
          <t>6577fdb6037fac0114456eef</t>
        </is>
      </c>
      <c r="B123" t="inlineStr">
        <is>
          <t>Steve New</t>
        </is>
      </c>
      <c r="C123">
        <f>HYPERLINK("http://www.linkedin.com/in/steve-new-54066b21")</f>
        <v/>
      </c>
      <c r="D123" t="inlineStr">
        <is>
          <t>snew@vailwilliams.com</t>
        </is>
      </c>
      <c r="E123" t="inlineStr">
        <is>
          <t>Partner</t>
        </is>
      </c>
      <c r="F123">
        <f>HYPERLINK("https://app.apollo.io/#/contacts/6577fdb6037fac0114456eef")</f>
        <v/>
      </c>
      <c r="G123" t="inlineStr">
        <is>
          <t>Vail Williams</t>
        </is>
      </c>
      <c r="H123">
        <f>HYPERLINK("https://app.apollo.io/#/accounts/6577f2d837a15e011434a82f")</f>
        <v/>
      </c>
      <c r="I123">
        <f>HYPERLINK("http://www.vailwilliams.com/")</f>
        <v/>
      </c>
      <c r="J123">
        <f>HYPERLINK("http://www.linkedin.com/company/vail-williams")</f>
        <v/>
      </c>
      <c r="K123">
        <f>HYPERLINK("https://twitter.com/vailwilliams")</f>
        <v/>
      </c>
      <c r="L123">
        <f>HYPERLINK("https://www.facebook.com/vailwilliams")</f>
        <v/>
      </c>
      <c r="M123" t="inlineStr">
        <is>
          <t>Woking, United Kingdom</t>
        </is>
      </c>
      <c r="N123" t="inlineStr">
        <is>
          <t>200</t>
        </is>
      </c>
      <c r="O123" t="inlineStr">
        <is>
          <t>Commercial Real Estate</t>
        </is>
      </c>
      <c r="P123" t="inlineStr">
        <is>
          <t>real estate,real estate,real estate agents,real estate agents</t>
        </is>
      </c>
    </row>
    <row r="124">
      <c r="A124" t="inlineStr">
        <is>
          <t>6577f46137a15e01983448fe</t>
        </is>
      </c>
      <c r="B124" t="inlineStr">
        <is>
          <t>Donald Simpson</t>
        </is>
      </c>
      <c r="C124">
        <f>HYPERLINK("http://www.linkedin.com/in/donald-simpson-1202797")</f>
        <v/>
      </c>
      <c r="D124" t="inlineStr">
        <is>
          <t>donald.simpson@cowiesburn.co.uk</t>
        </is>
      </c>
      <c r="E124" t="inlineStr">
        <is>
          <t>Partner</t>
        </is>
      </c>
      <c r="F124">
        <f>HYPERLINK("https://app.apollo.io/#/contacts/6577f46137a15e01983448fe")</f>
        <v/>
      </c>
      <c r="G124" t="inlineStr">
        <is>
          <t>Cowiesburn</t>
        </is>
      </c>
      <c r="H124">
        <f>HYPERLINK("https://app.apollo.io/#/accounts/6577f42637a15e022d340c24")</f>
        <v/>
      </c>
      <c r="I124">
        <f>HYPERLINK("http://www.cowiesburn.co.uk/")</f>
        <v/>
      </c>
      <c r="J124">
        <f>HYPERLINK("http://www.linkedin.com/company/cowiesburn-asset-management-llp")</f>
        <v/>
      </c>
      <c r="K124">
        <f>HYPERLINK("Not Found")</f>
        <v/>
      </c>
      <c r="L124">
        <f>HYPERLINK("Not Found")</f>
        <v/>
      </c>
      <c r="M124" t="inlineStr">
        <is>
          <t>Edinburgh, United Kingdom</t>
        </is>
      </c>
      <c r="N124" t="inlineStr">
        <is>
          <t>24</t>
        </is>
      </c>
      <c r="O124" t="inlineStr">
        <is>
          <t>Commercial Real Estate</t>
        </is>
      </c>
      <c r="P124" t="inlineStr">
        <is>
          <t>commercial property management,commercial property management</t>
        </is>
      </c>
    </row>
    <row r="125">
      <c r="A125" t="inlineStr">
        <is>
          <t>6577fdda037fac0114456ff8</t>
        </is>
      </c>
      <c r="B125" t="inlineStr">
        <is>
          <t>Simon Tann</t>
        </is>
      </c>
      <c r="C125">
        <f>HYPERLINK("http://www.linkedin.com/in/simon-tann-89435338")</f>
        <v/>
      </c>
      <c r="D125" t="inlineStr">
        <is>
          <t>simon.tann@levyrealestate.co.uk</t>
        </is>
      </c>
      <c r="E125" t="inlineStr">
        <is>
          <t>Partner</t>
        </is>
      </c>
      <c r="F125">
        <f>HYPERLINK("https://app.apollo.io/#/contacts/6577fdda037fac0114456ff8")</f>
        <v/>
      </c>
      <c r="G125" t="inlineStr">
        <is>
          <t>Levy Real Estate</t>
        </is>
      </c>
      <c r="H125">
        <f>HYPERLINK("https://app.apollo.io/#/accounts/6577f46e37a15e011434b20c")</f>
        <v/>
      </c>
      <c r="I125">
        <f>HYPERLINK("http://www.levyrealestate.co.uk/")</f>
        <v/>
      </c>
      <c r="J125">
        <f>HYPERLINK("http://www.linkedin.com/company/levyrealestate")</f>
        <v/>
      </c>
      <c r="K125">
        <f>HYPERLINK("Not Found")</f>
        <v/>
      </c>
      <c r="L125">
        <f>HYPERLINK("Not Found")</f>
        <v/>
      </c>
      <c r="M125" t="inlineStr">
        <is>
          <t>London, United Kingdom</t>
        </is>
      </c>
      <c r="N125" t="inlineStr">
        <is>
          <t>50</t>
        </is>
      </c>
      <c r="O125" t="inlineStr">
        <is>
          <t>Commercial Real Estate</t>
        </is>
      </c>
    </row>
    <row r="126">
      <c r="A126" t="inlineStr">
        <is>
          <t>6577fdde037fac0223454cbe</t>
        </is>
      </c>
      <c r="B126" t="inlineStr">
        <is>
          <t>Greg Hunt</t>
        </is>
      </c>
      <c r="C126">
        <f>HYPERLINK("http://www.linkedin.com/in/greghuntclemdobson")</f>
        <v/>
      </c>
      <c r="D126" t="inlineStr">
        <is>
          <t>greghunt@clemdobson.co.uk</t>
        </is>
      </c>
      <c r="E126" t="inlineStr">
        <is>
          <t>Partner</t>
        </is>
      </c>
      <c r="F126">
        <f>HYPERLINK("https://app.apollo.io/#/contacts/6577fdde037fac0223454cbe")</f>
        <v/>
      </c>
      <c r="G126" t="inlineStr">
        <is>
          <t>Clem Dobson Associates</t>
        </is>
      </c>
      <c r="H126">
        <f>HYPERLINK("https://app.apollo.io/#/accounts/6577fdde037fac0223454cc0")</f>
        <v/>
      </c>
      <c r="I126">
        <f>HYPERLINK("http://www.clemdobson.co.uk/")</f>
        <v/>
      </c>
      <c r="J126">
        <f>HYPERLINK("http://www.linkedin.com/company/clem-dobson-associates")</f>
        <v/>
      </c>
      <c r="K126">
        <f>HYPERLINK("Not Found")</f>
        <v/>
      </c>
      <c r="L126">
        <f>HYPERLINK("Not Found")</f>
        <v/>
      </c>
      <c r="M126" t="inlineStr">
        <is>
          <t>Bromsgrove, United Kingdom</t>
        </is>
      </c>
      <c r="N126" t="inlineStr">
        <is>
          <t>3</t>
        </is>
      </c>
      <c r="O126" t="inlineStr">
        <is>
          <t>Commercial Real Estate</t>
        </is>
      </c>
    </row>
    <row r="127">
      <c r="A127" t="inlineStr">
        <is>
          <t>54ab648a7468690564912f05</t>
        </is>
      </c>
      <c r="B127" t="inlineStr">
        <is>
          <t>Phil Cooke</t>
        </is>
      </c>
      <c r="C127">
        <f>HYPERLINK("http://www.linkedin.com/in/phil-cooke-a0a28114")</f>
        <v/>
      </c>
      <c r="D127" t="inlineStr">
        <is>
          <t>pmc@robertsandroberts.co.uk</t>
        </is>
      </c>
      <c r="E127" t="inlineStr">
        <is>
          <t>Owner</t>
        </is>
      </c>
      <c r="F127">
        <f>HYPERLINK("https://app.apollo.io/#/people/54ab648a7468690564912f05")</f>
        <v/>
      </c>
      <c r="G127" t="inlineStr">
        <is>
          <t>Roberts and Roberts</t>
        </is>
      </c>
      <c r="H127">
        <f>HYPERLINK("https://app.apollo.io/#/organizations/54a1397169702dac84424200")</f>
        <v/>
      </c>
      <c r="I127">
        <f>HYPERLINK("http://www.robertsandroberts.co.uk/")</f>
        <v/>
      </c>
      <c r="J127">
        <f>HYPERLINK("http://www.linkedin.com/company/roberts-and-roberts")</f>
        <v/>
      </c>
      <c r="K127">
        <f>HYPERLINK("Not Found")</f>
        <v/>
      </c>
      <c r="L127">
        <f>HYPERLINK("Not Found")</f>
        <v/>
      </c>
      <c r="M127" t="inlineStr">
        <is>
          <t>England, United Kingdom</t>
        </is>
      </c>
      <c r="N127" t="inlineStr">
        <is>
          <t>7</t>
        </is>
      </c>
      <c r="O127" t="inlineStr">
        <is>
          <t>Commercial Real Estate</t>
        </is>
      </c>
      <c r="P127" t="inlineStr">
        <is>
          <t>commercial &amp; residential surveyors &amp; valuers,commercial &amp; residential surveyors &amp; valuers</t>
        </is>
      </c>
    </row>
    <row r="128">
      <c r="A128" t="inlineStr">
        <is>
          <t>5c36d902f651258f65057341</t>
        </is>
      </c>
      <c r="B128" t="inlineStr">
        <is>
          <t>Jason Davis</t>
        </is>
      </c>
      <c r="C128">
        <f>HYPERLINK("http://www.linkedin.com/in/jason-davis-77ab13133")</f>
        <v/>
      </c>
      <c r="D128" t="inlineStr">
        <is>
          <t>jdavis@quoradevelopments.co.uk</t>
        </is>
      </c>
      <c r="E128" t="inlineStr">
        <is>
          <t>Owner</t>
        </is>
      </c>
      <c r="F128">
        <f>HYPERLINK("https://app.apollo.io/#/people/5c36d902f651258f65057341")</f>
        <v/>
      </c>
      <c r="G128" t="inlineStr">
        <is>
          <t>QUORA LIMITED</t>
        </is>
      </c>
      <c r="H128">
        <f>HYPERLINK("https://app.apollo.io/#/accounts/6577f32c37a15e01983442fc")</f>
        <v/>
      </c>
      <c r="I128">
        <f>HYPERLINK("http://www.quoradevelopments.com/")</f>
        <v/>
      </c>
      <c r="J128">
        <f>HYPERLINK("http://www.linkedin.com/company/quora-limited")</f>
        <v/>
      </c>
      <c r="K128">
        <f>HYPERLINK("Not Found")</f>
        <v/>
      </c>
      <c r="L128">
        <f>HYPERLINK("Not Found")</f>
        <v/>
      </c>
      <c r="M128" t="inlineStr">
        <is>
          <t>England, United Kingdom</t>
        </is>
      </c>
      <c r="N128" t="inlineStr">
        <is>
          <t>3</t>
        </is>
      </c>
      <c r="O128" t="inlineStr">
        <is>
          <t>Commercial Real Estate</t>
        </is>
      </c>
    </row>
    <row r="129">
      <c r="A129" t="inlineStr">
        <is>
          <t>57dba9a6a6da9868a33430c6</t>
        </is>
      </c>
      <c r="B129" t="inlineStr">
        <is>
          <t>Ged Hussey</t>
        </is>
      </c>
      <c r="C129">
        <f>HYPERLINK("http://www.linkedin.com/in/gedhussey")</f>
        <v/>
      </c>
      <c r="D129" t="inlineStr">
        <is>
          <t>ghussey@gh-properties.com</t>
        </is>
      </c>
      <c r="E129" t="inlineStr">
        <is>
          <t>Owner</t>
        </is>
      </c>
      <c r="F129">
        <f>HYPERLINK("https://app.apollo.io/#/people/57dba9a6a6da9868a33430c6")</f>
        <v/>
      </c>
      <c r="G129" t="inlineStr">
        <is>
          <t>G&amp;H Property Management</t>
        </is>
      </c>
      <c r="H129">
        <f>HYPERLINK("https://app.apollo.io/#/organizations/54a127d469702dc128e68000")</f>
        <v/>
      </c>
      <c r="I129">
        <f>HYPERLINK("http://www.gh-properties.com/")</f>
        <v/>
      </c>
      <c r="J129">
        <f>HYPERLINK("http://www.linkedin.com/company/g&amp;h-property-management")</f>
        <v/>
      </c>
      <c r="K129">
        <f>HYPERLINK("Not Found")</f>
        <v/>
      </c>
      <c r="L129">
        <f>HYPERLINK("https://facebook.com/GhPropertyManagement")</f>
        <v/>
      </c>
      <c r="M129" t="inlineStr">
        <is>
          <t>Liverpool, United Kingdom</t>
        </is>
      </c>
      <c r="N129" t="inlineStr">
        <is>
          <t>10</t>
        </is>
      </c>
      <c r="O129" t="inlineStr">
        <is>
          <t>Commercial Real Estate</t>
        </is>
      </c>
      <c r="P129" t="inlineStr">
        <is>
          <t>real estate,real estate,property management,property management</t>
        </is>
      </c>
    </row>
    <row r="130">
      <c r="A130" t="inlineStr">
        <is>
          <t>57dfbd22a6da980b53e1da34</t>
        </is>
      </c>
      <c r="B130" t="inlineStr">
        <is>
          <t>Lindsay Holdoway</t>
        </is>
      </c>
      <c r="C130">
        <f>HYPERLINK("http://www.linkedin.com/in/lindsay-holdoway-540b408")</f>
        <v/>
      </c>
      <c r="D130" t="inlineStr">
        <is>
          <t>lindsay.holdoway@hph.co.uk</t>
        </is>
      </c>
      <c r="E130" t="inlineStr">
        <is>
          <t>Owner</t>
        </is>
      </c>
      <c r="F130">
        <f>HYPERLINK("https://app.apollo.io/#/people/57dfbd22a6da980b53e1da34")</f>
        <v/>
      </c>
      <c r="G130" t="inlineStr">
        <is>
          <t>HPH Ltd</t>
        </is>
      </c>
      <c r="H130">
        <f>HYPERLINK("https://app.apollo.io/#/organizations/54a1296b69702db6489f8d01")</f>
        <v/>
      </c>
      <c r="I130">
        <f>HYPERLINK("http://www.hph.co.uk/")</f>
        <v/>
      </c>
      <c r="J130">
        <f>HYPERLINK("http://www.linkedin.com/company/hph-ltd")</f>
        <v/>
      </c>
      <c r="K130">
        <f>HYPERLINK("https://twitter.com/HPHUK")</f>
        <v/>
      </c>
      <c r="L130">
        <f>HYPERLINK("Not Found")</f>
        <v/>
      </c>
      <c r="M130" t="inlineStr">
        <is>
          <t>Bath, United Kingdom</t>
        </is>
      </c>
      <c r="N130" t="inlineStr">
        <is>
          <t>14</t>
        </is>
      </c>
      <c r="O130" t="inlineStr">
        <is>
          <t>Commercial Real Estate</t>
        </is>
      </c>
      <c r="P130" t="inlineStr">
        <is>
          <t>period property refurbishment,period property refurbishment</t>
        </is>
      </c>
    </row>
    <row r="131">
      <c r="A131" t="inlineStr">
        <is>
          <t>6577f33937a15e022d340a04</t>
        </is>
      </c>
      <c r="B131" t="inlineStr">
        <is>
          <t>Rob Wildblood</t>
        </is>
      </c>
      <c r="C131">
        <f>HYPERLINK("http://www.linkedin.com/in/rob-wildblood-a5597b83")</f>
        <v/>
      </c>
      <c r="D131" t="inlineStr">
        <is>
          <t>rob@montroseproperties.co.uk</t>
        </is>
      </c>
      <c r="E131" t="inlineStr">
        <is>
          <t>Owner/Director</t>
        </is>
      </c>
      <c r="F131">
        <f>HYPERLINK("https://app.apollo.io/#/contacts/6577f33937a15e022d340a04")</f>
        <v/>
      </c>
      <c r="G131" t="inlineStr">
        <is>
          <t>MONTROSE PROPERTIES LIMITED</t>
        </is>
      </c>
      <c r="H131">
        <f>HYPERLINK("https://app.apollo.io/#/accounts/6577f33937a15e022d340a06")</f>
        <v/>
      </c>
      <c r="I131">
        <f>HYPERLINK("http://www.montroseproperties.co.uk/")</f>
        <v/>
      </c>
      <c r="J131">
        <f>HYPERLINK("http://www.linkedin.com/company/montrose-properties-limited")</f>
        <v/>
      </c>
      <c r="K131">
        <f>HYPERLINK("Not Found")</f>
        <v/>
      </c>
      <c r="L131">
        <f>HYPERLINK("Not Found")</f>
        <v/>
      </c>
      <c r="M131" t="inlineStr">
        <is>
          <t>Manchester, United Kingdom</t>
        </is>
      </c>
      <c r="N131" t="inlineStr">
        <is>
          <t>6</t>
        </is>
      </c>
      <c r="O131" t="inlineStr">
        <is>
          <t>Commercial Real Estate</t>
        </is>
      </c>
    </row>
    <row r="132">
      <c r="A132" t="inlineStr">
        <is>
          <t>6577f32c37a15e01983442fa</t>
        </is>
      </c>
      <c r="B132" t="inlineStr">
        <is>
          <t>Nicholas Morgan</t>
        </is>
      </c>
      <c r="C132">
        <f>HYPERLINK("http://www.linkedin.com/in/nicholas-morgan-283a00155")</f>
        <v/>
      </c>
      <c r="D132" t="inlineStr">
        <is>
          <t>nmorgan@quoradevelopments.co.uk</t>
        </is>
      </c>
      <c r="E132" t="inlineStr">
        <is>
          <t>Owner / Director</t>
        </is>
      </c>
      <c r="F132">
        <f>HYPERLINK("https://app.apollo.io/#/contacts/6577f32c37a15e01983442fa")</f>
        <v/>
      </c>
      <c r="G132" t="inlineStr">
        <is>
          <t>QUORA LIMITED</t>
        </is>
      </c>
      <c r="H132">
        <f>HYPERLINK("https://app.apollo.io/#/accounts/6577f32c37a15e01983442fc")</f>
        <v/>
      </c>
      <c r="I132">
        <f>HYPERLINK("http://www.quoradevelopments.com/")</f>
        <v/>
      </c>
      <c r="J132">
        <f>HYPERLINK("http://www.linkedin.com/company/quora-limited")</f>
        <v/>
      </c>
      <c r="K132">
        <f>HYPERLINK("Not Found")</f>
        <v/>
      </c>
      <c r="L132">
        <f>HYPERLINK("Not Found")</f>
        <v/>
      </c>
      <c r="M132" t="inlineStr">
        <is>
          <t>England, United Kingdom</t>
        </is>
      </c>
      <c r="N132" t="inlineStr">
        <is>
          <t>3</t>
        </is>
      </c>
      <c r="O132" t="inlineStr">
        <is>
          <t>Commercial Real Estate</t>
        </is>
      </c>
    </row>
    <row r="133">
      <c r="A133" t="inlineStr">
        <is>
          <t>6577fd8a037fac0114456db2</t>
        </is>
      </c>
      <c r="B133" t="inlineStr">
        <is>
          <t>David Hemming</t>
        </is>
      </c>
      <c r="C133">
        <f>HYPERLINK("http://www.linkedin.com/in/david-hemming-96441817")</f>
        <v/>
      </c>
      <c r="D133" t="inlineStr">
        <is>
          <t>david.hemming@burleybrowne.co.uk</t>
        </is>
      </c>
      <c r="E133" t="inlineStr">
        <is>
          <t>Director / Owner</t>
        </is>
      </c>
      <c r="F133">
        <f>HYPERLINK("https://app.apollo.io/#/contacts/6577fd8a037fac0114456db2")</f>
        <v/>
      </c>
      <c r="G133" t="inlineStr">
        <is>
          <t>Burley Browne Chartered Surveyors</t>
        </is>
      </c>
      <c r="H133">
        <f>HYPERLINK("https://app.apollo.io/#/accounts/6577fd8a037fac0114456db4")</f>
        <v/>
      </c>
      <c r="I133">
        <f>HYPERLINK("http://www.burleybrowne.co.uk/")</f>
        <v/>
      </c>
      <c r="J133">
        <f>HYPERLINK("http://www.linkedin.com/company/burley-browne-chartered-surveyors")</f>
        <v/>
      </c>
      <c r="K133">
        <f>HYPERLINK("https://twitter.com/BurleyBrowne")</f>
        <v/>
      </c>
      <c r="L133">
        <f>HYPERLINK("https://www.facebook.com/BurleyBrowne")</f>
        <v/>
      </c>
      <c r="M133" t="inlineStr">
        <is>
          <t>Sutton Coldfield, United Kingdom</t>
        </is>
      </c>
      <c r="N133" t="inlineStr">
        <is>
          <t>11</t>
        </is>
      </c>
      <c r="O133" t="inlineStr">
        <is>
          <t>Commercial Real Estate</t>
        </is>
      </c>
      <c r="P133" t="inlineStr">
        <is>
          <t>commercial property sales &amp; lettings,commercial property sales &amp; lettings</t>
        </is>
      </c>
    </row>
    <row r="134">
      <c r="A134" t="inlineStr">
        <is>
          <t>6577f36c37a15e02e633e6fd</t>
        </is>
      </c>
      <c r="B134" t="inlineStr">
        <is>
          <t>Matt Glenny</t>
        </is>
      </c>
      <c r="C134">
        <f>HYPERLINK("http://www.linkedin.com/in/mattglenny")</f>
        <v/>
      </c>
      <c r="D134" t="inlineStr">
        <is>
          <t>mglenny@costar.co.uk</t>
        </is>
      </c>
      <c r="E134" t="inlineStr">
        <is>
          <t>UK Head of Sales</t>
        </is>
      </c>
      <c r="F134">
        <f>HYPERLINK("https://app.apollo.io/#/contacts/6577f36c37a15e02e633e6fd")</f>
        <v/>
      </c>
      <c r="G134" t="inlineStr">
        <is>
          <t>CoStar Group</t>
        </is>
      </c>
      <c r="H134">
        <f>HYPERLINK("https://app.apollo.io/#/accounts/6577f34b37a15e011434aa99")</f>
        <v/>
      </c>
      <c r="I134">
        <f>HYPERLINK("http://www.costargroup.com/")</f>
        <v/>
      </c>
      <c r="J134">
        <f>HYPERLINK("http://www.linkedin.com/company/costar-group")</f>
        <v/>
      </c>
      <c r="K134">
        <f>HYPERLINK("http://twitter.com/TheCoStarGroup")</f>
        <v/>
      </c>
      <c r="L134">
        <f>HYPERLINK("http://www.facebook.com/CoStarGroup")</f>
        <v/>
      </c>
      <c r="M134" t="inlineStr">
        <is>
          <t>London, United Kingdom</t>
        </is>
      </c>
      <c r="N134" t="inlineStr">
        <is>
          <t>6,300</t>
        </is>
      </c>
      <c r="O134" t="inlineStr">
        <is>
          <t>Commercial Real Estate</t>
        </is>
      </c>
      <c r="P134" t="inlineStr">
        <is>
          <t>information technology,information technology</t>
        </is>
      </c>
    </row>
    <row r="135">
      <c r="A135" t="inlineStr">
        <is>
          <t>6577f35837a15e022d340a37</t>
        </is>
      </c>
      <c r="B135" t="inlineStr">
        <is>
          <t>Kunal Lala</t>
        </is>
      </c>
      <c r="C135">
        <f>HYPERLINK("http://www.linkedin.com/in/kunal-lala-98b2368")</f>
        <v/>
      </c>
      <c r="D135" t="inlineStr">
        <is>
          <t>kunal.lala@spaceflow.io</t>
        </is>
      </c>
      <c r="E135" t="inlineStr">
        <is>
          <t>Head of Sales &amp; Partnerships</t>
        </is>
      </c>
      <c r="F135">
        <f>HYPERLINK("https://app.apollo.io/#/contacts/6577f35837a15e022d340a37")</f>
        <v/>
      </c>
      <c r="G135" t="inlineStr">
        <is>
          <t>Spaceflow</t>
        </is>
      </c>
      <c r="H135">
        <f>HYPERLINK("https://app.apollo.io/#/accounts/6577f20d261b7002a0ef07d0")</f>
        <v/>
      </c>
      <c r="I135">
        <f>HYPERLINK("http://www.spaceflow.io/")</f>
        <v/>
      </c>
      <c r="J135">
        <f>HYPERLINK("http://www.linkedin.com/company/spaceflow")</f>
        <v/>
      </c>
      <c r="K135">
        <f>HYPERLINK("https://twitter.com/Spaceflowapp")</f>
        <v/>
      </c>
      <c r="L135">
        <f>HYPERLINK("https://www.facebook.com/spaceflow.io/")</f>
        <v/>
      </c>
      <c r="M135" t="inlineStr">
        <is>
          <t>United Kingdom</t>
        </is>
      </c>
      <c r="N135" t="inlineStr">
        <is>
          <t>30</t>
        </is>
      </c>
      <c r="O135" t="inlineStr">
        <is>
          <t>Commercial Real Estate</t>
        </is>
      </c>
      <c r="P135" t="inlineStr">
        <is>
          <t>digital,digital,realestate,realestate,technology,technology</t>
        </is>
      </c>
    </row>
    <row r="136">
      <c r="A136" t="inlineStr">
        <is>
          <t>6577f34b37a15e011434aa97</t>
        </is>
      </c>
      <c r="B136" t="inlineStr">
        <is>
          <t>Alexa-Maria Barker</t>
        </is>
      </c>
      <c r="C136">
        <f>HYPERLINK("http://www.linkedin.com/in/alexa-maria-rathbone-barker-935a9217")</f>
        <v/>
      </c>
      <c r="D136" t="inlineStr">
        <is>
          <t>abarker@costar.co.uk</t>
        </is>
      </c>
      <c r="E136" t="inlineStr">
        <is>
          <t>European Head Of Sales</t>
        </is>
      </c>
      <c r="F136">
        <f>HYPERLINK("https://app.apollo.io/#/contacts/6577f34b37a15e011434aa97")</f>
        <v/>
      </c>
      <c r="G136" t="inlineStr">
        <is>
          <t>CoStar Group</t>
        </is>
      </c>
      <c r="H136">
        <f>HYPERLINK("https://app.apollo.io/#/accounts/6577f34b37a15e011434aa99")</f>
        <v/>
      </c>
      <c r="I136">
        <f>HYPERLINK("http://www.costargroup.com/")</f>
        <v/>
      </c>
      <c r="J136">
        <f>HYPERLINK("http://www.linkedin.com/company/costar-group")</f>
        <v/>
      </c>
      <c r="K136">
        <f>HYPERLINK("http://twitter.com/TheCoStarGroup")</f>
        <v/>
      </c>
      <c r="L136">
        <f>HYPERLINK("http://www.facebook.com/CoStarGroup")</f>
        <v/>
      </c>
      <c r="M136" t="inlineStr">
        <is>
          <t>London, United Kingdom</t>
        </is>
      </c>
      <c r="N136" t="inlineStr">
        <is>
          <t>6,300</t>
        </is>
      </c>
      <c r="O136" t="inlineStr">
        <is>
          <t>Commercial Real Estate</t>
        </is>
      </c>
      <c r="P136" t="inlineStr">
        <is>
          <t>information technology,information technology</t>
        </is>
      </c>
    </row>
    <row r="137">
      <c r="A137" t="inlineStr">
        <is>
          <t>6577f35137a15e011434aab9</t>
        </is>
      </c>
      <c r="B137" t="inlineStr">
        <is>
          <t>Trevor Mewes</t>
        </is>
      </c>
      <c r="C137">
        <f>HYPERLINK("http://www.linkedin.com/in/trevor-mewes-49006a71")</f>
        <v/>
      </c>
      <c r="D137" t="inlineStr">
        <is>
          <t>trevormewes@dawsongroup.co.uk</t>
        </is>
      </c>
      <c r="E137" t="inlineStr">
        <is>
          <t>Regional Head of Sales</t>
        </is>
      </c>
      <c r="F137">
        <f>HYPERLINK("https://app.apollo.io/#/contacts/6577f35137a15e011434aab9")</f>
        <v/>
      </c>
      <c r="G137" t="inlineStr">
        <is>
          <t>Dawsongroup</t>
        </is>
      </c>
      <c r="H137">
        <f>HYPERLINK("https://app.apollo.io/#/accounts/6577f30937a15e011434a943")</f>
        <v/>
      </c>
      <c r="I137">
        <f>HYPERLINK("http://www.dawsongroup.co.uk/")</f>
        <v/>
      </c>
      <c r="J137">
        <f>HYPERLINK("http://www.linkedin.com/company/dawsongroup-plc")</f>
        <v/>
      </c>
      <c r="K137">
        <f>HYPERLINK("https://twitter.com/dawsongroupplc")</f>
        <v/>
      </c>
      <c r="L137">
        <f>HYPERLINK("Not Found")</f>
        <v/>
      </c>
      <c r="M137" t="inlineStr">
        <is>
          <t>Newcastle upon Tyne, United Kingdom</t>
        </is>
      </c>
      <c r="N137" t="inlineStr">
        <is>
          <t>390</t>
        </is>
      </c>
      <c r="O137" t="inlineStr">
        <is>
          <t>Commercial Real Estate</t>
        </is>
      </c>
      <c r="P137" t="inlineStr">
        <is>
          <t>asset management,asset management,rental,rental</t>
        </is>
      </c>
    </row>
    <row r="138">
      <c r="A138" t="inlineStr">
        <is>
          <t>6577f35e37a15e011434ab06</t>
        </is>
      </c>
      <c r="B138" t="inlineStr">
        <is>
          <t>Paul Johnston</t>
        </is>
      </c>
      <c r="C138">
        <f>HYPERLINK("http://www.linkedin.com/in/paul-johnston-99917438")</f>
        <v/>
      </c>
      <c r="D138" t="inlineStr">
        <is>
          <t>pjohnston@lrg.co.uk</t>
        </is>
      </c>
      <c r="E138" t="inlineStr">
        <is>
          <t>Head Of Corporate Sales</t>
        </is>
      </c>
      <c r="F138">
        <f>HYPERLINK("https://app.apollo.io/#/contacts/6577f35e37a15e011434ab06")</f>
        <v/>
      </c>
      <c r="G138" t="inlineStr">
        <is>
          <t>Leaders Romans Group</t>
        </is>
      </c>
      <c r="H138">
        <f>HYPERLINK("https://app.apollo.io/#/accounts/6577bc57a3b9550198ec6839")</f>
        <v/>
      </c>
      <c r="I138">
        <f>HYPERLINK("http://www.lrg.co.uk/")</f>
        <v/>
      </c>
      <c r="J138">
        <f>HYPERLINK("http://www.linkedin.com/company/leaders-romans-group")</f>
        <v/>
      </c>
      <c r="K138">
        <f>HYPERLINK("Not Found")</f>
        <v/>
      </c>
      <c r="L138">
        <f>HYPERLINK("Not Found")</f>
        <v/>
      </c>
      <c r="M138" t="inlineStr">
        <is>
          <t>Wokingham, United Kingdom</t>
        </is>
      </c>
      <c r="N138" t="inlineStr">
        <is>
          <t>2,600</t>
        </is>
      </c>
      <c r="O138" t="inlineStr">
        <is>
          <t>Commercial Real Estate</t>
        </is>
      </c>
      <c r="P138" t="inlineStr">
        <is>
          <t>estate agency,estate agency,lettings,lettings</t>
        </is>
      </c>
    </row>
    <row r="139">
      <c r="A139" t="inlineStr">
        <is>
          <t>6577fd6e037fac0114456caa</t>
        </is>
      </c>
      <c r="B139" t="inlineStr">
        <is>
          <t>Helen O'Reilly</t>
        </is>
      </c>
      <c r="C139">
        <f>HYPERLINK("http://www.linkedin.com/in/heleneoreilly")</f>
        <v/>
      </c>
      <c r="D139" t="inlineStr">
        <is>
          <t>helen.oreilly@colliers.com</t>
        </is>
      </c>
      <c r="E139" t="inlineStr">
        <is>
          <t>Director | UK Head of Marketing &amp; Communications</t>
        </is>
      </c>
      <c r="F139">
        <f>HYPERLINK("https://app.apollo.io/#/contacts/6577fd6e037fac0114456caa")</f>
        <v/>
      </c>
      <c r="G139" t="inlineStr">
        <is>
          <t>Colliers</t>
        </is>
      </c>
      <c r="H139">
        <f>HYPERLINK("https://app.apollo.io/#/accounts/6577bc4da3b9550198ec6817")</f>
        <v/>
      </c>
      <c r="I139">
        <f>HYPERLINK("http://www.colliers.com/")</f>
        <v/>
      </c>
      <c r="J139">
        <f>HYPERLINK("http://www.linkedin.com/company/colliers")</f>
        <v/>
      </c>
      <c r="K139">
        <f>HYPERLINK("https://twitter.com/Colliers")</f>
        <v/>
      </c>
      <c r="L139">
        <f>HYPERLINK("https://facebook.com/colliersinternational/")</f>
        <v/>
      </c>
      <c r="M139" t="inlineStr">
        <is>
          <t>London, United Kingdom</t>
        </is>
      </c>
      <c r="N139" t="inlineStr">
        <is>
          <t>25,000</t>
        </is>
      </c>
      <c r="O139" t="inlineStr">
        <is>
          <t>Commercial Real Estate</t>
        </is>
      </c>
      <c r="P139" t="inlineStr">
        <is>
          <t>brokerage &amp; agency,brokerage &amp; agency</t>
        </is>
      </c>
    </row>
    <row r="140">
      <c r="A140" t="inlineStr">
        <is>
          <t>6577fd65037fac0114456c6a</t>
        </is>
      </c>
      <c r="B140" t="inlineStr">
        <is>
          <t>Rachel Bunney</t>
        </is>
      </c>
      <c r="C140">
        <f>HYPERLINK("http://www.linkedin.com/in/rachel-bunney-90796864")</f>
        <v/>
      </c>
      <c r="D140" t="inlineStr">
        <is>
          <t>rachel.bunney@colliers.com</t>
        </is>
      </c>
      <c r="E140" t="inlineStr">
        <is>
          <t>Marketing Director &amp; Head of Client Engagement</t>
        </is>
      </c>
      <c r="F140">
        <f>HYPERLINK("https://app.apollo.io/#/contacts/6577fd65037fac0114456c6a")</f>
        <v/>
      </c>
      <c r="G140" t="inlineStr">
        <is>
          <t>Colliers</t>
        </is>
      </c>
      <c r="H140">
        <f>HYPERLINK("https://app.apollo.io/#/accounts/6577bc4da3b9550198ec6817")</f>
        <v/>
      </c>
      <c r="I140">
        <f>HYPERLINK("http://www.colliers.com/")</f>
        <v/>
      </c>
      <c r="J140">
        <f>HYPERLINK("http://www.linkedin.com/company/colliers")</f>
        <v/>
      </c>
      <c r="K140">
        <f>HYPERLINK("https://twitter.com/Colliers")</f>
        <v/>
      </c>
      <c r="L140">
        <f>HYPERLINK("https://facebook.com/colliersinternational/")</f>
        <v/>
      </c>
      <c r="M140" t="inlineStr">
        <is>
          <t>London, United Kingdom</t>
        </is>
      </c>
      <c r="N140" t="inlineStr">
        <is>
          <t>25,000</t>
        </is>
      </c>
      <c r="O140" t="inlineStr">
        <is>
          <t>Commercial Real Estate</t>
        </is>
      </c>
      <c r="P140" t="inlineStr">
        <is>
          <t>brokerage &amp; agency,brokerage &amp; agency</t>
        </is>
      </c>
    </row>
    <row r="141">
      <c r="A141" t="inlineStr">
        <is>
          <t>54a20eb074686935be55fc08</t>
        </is>
      </c>
      <c r="B141" t="inlineStr">
        <is>
          <t>Trevor Edmond</t>
        </is>
      </c>
      <c r="C141">
        <f>HYPERLINK("http://www.linkedin.com/in/trevor-edmond-98984027")</f>
        <v/>
      </c>
      <c r="D141" t="inlineStr">
        <is>
          <t>trevor@greenprops.org</t>
        </is>
      </c>
      <c r="E141" t="inlineStr">
        <is>
          <t>Owner</t>
        </is>
      </c>
      <c r="F141">
        <f>HYPERLINK("https://app.apollo.io/#/people/54a20eb074686935be55fc08")</f>
        <v/>
      </c>
      <c r="G141" t="inlineStr">
        <is>
          <t>GreenProps</t>
        </is>
      </c>
      <c r="H141">
        <f>HYPERLINK("https://app.apollo.io/#/organizations/5fca2f0c078e3200011ef7ec")</f>
        <v/>
      </c>
      <c r="I141">
        <f>HYPERLINK("http://www.greenprops.org/")</f>
        <v/>
      </c>
      <c r="J141">
        <f>HYPERLINK("http://www.linkedin.com/company/greenprops")</f>
        <v/>
      </c>
      <c r="K141">
        <f>HYPERLINK("Not Found")</f>
        <v/>
      </c>
      <c r="L141">
        <f>HYPERLINK("Not Found")</f>
        <v/>
      </c>
      <c r="M141" t="inlineStr">
        <is>
          <t>Taunton, United Kingdom</t>
        </is>
      </c>
      <c r="N141" t="inlineStr">
        <is>
          <t>4</t>
        </is>
      </c>
      <c r="O141" t="inlineStr">
        <is>
          <t>Commercial Real Estate</t>
        </is>
      </c>
      <c r="P141" t="inlineStr">
        <is>
          <t>flat sales,flat sales,email marketing,email marketing</t>
        </is>
      </c>
    </row>
    <row r="142">
      <c r="A142" t="inlineStr">
        <is>
          <t>57e0eecfa6da987d60b6bd28</t>
        </is>
      </c>
      <c r="B142" t="inlineStr">
        <is>
          <t>Laurence Bruce</t>
        </is>
      </c>
      <c r="C142">
        <f>HYPERLINK("http://www.linkedin.com/in/laurence-bruce-2b034541")</f>
        <v/>
      </c>
      <c r="D142" t="inlineStr">
        <is>
          <t>laurence@brucecommercial.co.uk</t>
        </is>
      </c>
      <c r="E142" t="inlineStr">
        <is>
          <t>Owner</t>
        </is>
      </c>
      <c r="F142">
        <f>HYPERLINK("https://app.apollo.io/#/people/57e0eecfa6da987d60b6bd28")</f>
        <v/>
      </c>
      <c r="G142" t="inlineStr">
        <is>
          <t>Bruce Commercial Estate Agents</t>
        </is>
      </c>
      <c r="H142">
        <f>HYPERLINK("https://app.apollo.io/#/organizations/5ed28fd1758f520001d8d312")</f>
        <v/>
      </c>
      <c r="I142">
        <f>HYPERLINK("http://www.brucecommercial.co.uk/")</f>
        <v/>
      </c>
      <c r="J142">
        <f>HYPERLINK("http://www.linkedin.com/company/brucecommercial")</f>
        <v/>
      </c>
      <c r="K142">
        <f>HYPERLINK("Not Found")</f>
        <v/>
      </c>
      <c r="L142">
        <f>HYPERLINK("Not Found")</f>
        <v/>
      </c>
      <c r="M142" t="inlineStr">
        <is>
          <t>London, United Kingdom</t>
        </is>
      </c>
      <c r="N142" t="inlineStr">
        <is>
          <t>3</t>
        </is>
      </c>
      <c r="O142" t="inlineStr">
        <is>
          <t>Commercial Real Estate</t>
        </is>
      </c>
      <c r="P142" t="inlineStr">
        <is>
          <t>london,london,kings cross,kings cross</t>
        </is>
      </c>
    </row>
    <row r="143">
      <c r="A143" t="inlineStr">
        <is>
          <t>5e7fcecc3a8bdf0001bd52c2</t>
        </is>
      </c>
      <c r="B143" t="inlineStr">
        <is>
          <t>Jan Duedden</t>
        </is>
      </c>
      <c r="C143">
        <f>HYPERLINK("http://www.linkedin.com/in/jan-duedden-b70aa5145")</f>
        <v/>
      </c>
      <c r="D143" t="inlineStr">
        <is>
          <t>jan.duedden@arcida-advisors.com</t>
        </is>
      </c>
      <c r="E143" t="inlineStr">
        <is>
          <t>Managing Partner</t>
        </is>
      </c>
      <c r="F143">
        <f>HYPERLINK("https://app.apollo.io/#/people/5e7fcecc3a8bdf0001bd52c2")</f>
        <v/>
      </c>
      <c r="G143" t="inlineStr">
        <is>
          <t>Arcida Advisors GmbH</t>
        </is>
      </c>
      <c r="H143">
        <f>HYPERLINK("https://app.apollo.io/#/organizations/61ad0bb1a3ef02000179ef61")</f>
        <v/>
      </c>
      <c r="I143">
        <f>HYPERLINK("http://www.arcida-advisors.com/")</f>
        <v/>
      </c>
      <c r="J143">
        <f>HYPERLINK("http://www.linkedin.com/company/arcida-advisors")</f>
        <v/>
      </c>
      <c r="K143">
        <f>HYPERLINK("Not Found")</f>
        <v/>
      </c>
      <c r="L143">
        <f>HYPERLINK("Not Found")</f>
        <v/>
      </c>
      <c r="M143" t="inlineStr">
        <is>
          <t>London, United Kingdom</t>
        </is>
      </c>
      <c r="N143" t="inlineStr">
        <is>
          <t>5</t>
        </is>
      </c>
      <c r="O143" t="inlineStr">
        <is>
          <t>Commercial Real Estate</t>
        </is>
      </c>
      <c r="P143" t="inlineStr">
        <is>
          <t>beratung,beratung,residential real estate,residential real estate</t>
        </is>
      </c>
    </row>
    <row r="144">
      <c r="A144" t="inlineStr">
        <is>
          <t>60c5c26b29901e0001d267fb</t>
        </is>
      </c>
      <c r="B144" t="inlineStr">
        <is>
          <t>Saqib</t>
        </is>
      </c>
      <c r="C144">
        <f>HYPERLINK("http://www.linkedin.com/in/saqib-m-24a38b22")</f>
        <v/>
      </c>
      <c r="D144" t="inlineStr">
        <is>
          <t>saqib@citylightam.com</t>
        </is>
      </c>
      <c r="E144" t="inlineStr">
        <is>
          <t>Managing Partner</t>
        </is>
      </c>
      <c r="F144">
        <f>HYPERLINK("https://app.apollo.io/#/people/60c5c26b29901e0001d267fb")</f>
        <v/>
      </c>
      <c r="G144" t="inlineStr">
        <is>
          <t>Citylight Asset Management</t>
        </is>
      </c>
      <c r="H144">
        <f>HYPERLINK("https://app.apollo.io/#/accounts/657803bea2ca0200fc59ff17")</f>
        <v/>
      </c>
      <c r="I144">
        <f>HYPERLINK("http://www.citylightam.com/")</f>
        <v/>
      </c>
      <c r="J144">
        <f>HYPERLINK("http://www.linkedin.com/company/citylight-am")</f>
        <v/>
      </c>
      <c r="K144">
        <f>HYPERLINK("Not Found")</f>
        <v/>
      </c>
      <c r="L144">
        <f>HYPERLINK("Not Found")</f>
        <v/>
      </c>
      <c r="M144" t="inlineStr">
        <is>
          <t>United Kingdom</t>
        </is>
      </c>
      <c r="N144" t="inlineStr">
        <is>
          <t>2</t>
        </is>
      </c>
      <c r="O144" t="inlineStr">
        <is>
          <t>Commercial Real Estate</t>
        </is>
      </c>
      <c r="P144" t="inlineStr">
        <is>
          <t>commercial real estate,commercial real estate</t>
        </is>
      </c>
    </row>
    <row r="145">
      <c r="A145" t="inlineStr">
        <is>
          <t>54a2178a7468693825e34b0c</t>
        </is>
      </c>
      <c r="B145" t="inlineStr">
        <is>
          <t>Robert Calcaterra</t>
        </is>
      </c>
      <c r="C145">
        <f>HYPERLINK("http://www.linkedin.com/in/robert-calcaterra-3aa2831b")</f>
        <v/>
      </c>
      <c r="D145" t="inlineStr">
        <is>
          <t>robertcalcaterra@hrt.uk.com</t>
        </is>
      </c>
      <c r="E145" t="inlineStr">
        <is>
          <t>Residential Partner</t>
        </is>
      </c>
      <c r="F145">
        <f>HYPERLINK("https://app.apollo.io/#/people/54a2178a7468693825e34b0c")</f>
        <v/>
      </c>
      <c r="G145" t="inlineStr">
        <is>
          <t>Herbert R Thomas</t>
        </is>
      </c>
      <c r="H145">
        <f>HYPERLINK("https://app.apollo.io/#/accounts/657802b742fe9f01803f8d52")</f>
        <v/>
      </c>
      <c r="I145">
        <f>HYPERLINK("http://www.hrt.uk.com/")</f>
        <v/>
      </c>
      <c r="J145">
        <f>HYPERLINK("http://www.linkedin.com/company/herbert-r-thomas")</f>
        <v/>
      </c>
      <c r="K145">
        <f>HYPERLINK("https://twitter.com/HerbertRThomas")</f>
        <v/>
      </c>
      <c r="L145">
        <f>HYPERLINK("https://www.facebook.com/Herbert-R-Thomas-247651058594338/")</f>
        <v/>
      </c>
      <c r="M145" t="inlineStr">
        <is>
          <t>Cardiff, United Kingdom</t>
        </is>
      </c>
      <c r="N145" t="inlineStr">
        <is>
          <t>34</t>
        </is>
      </c>
      <c r="O145" t="inlineStr">
        <is>
          <t>Commercial Real Estate</t>
        </is>
      </c>
      <c r="P145" t="inlineStr">
        <is>
          <t>surveying,surveying,valuers,valuers,estate agents,estate agents</t>
        </is>
      </c>
    </row>
    <row r="146">
      <c r="A146" t="inlineStr">
        <is>
          <t>6455022eacbd0b000161ac6b</t>
        </is>
      </c>
      <c r="B146" t="inlineStr">
        <is>
          <t>Ceri Edwards</t>
        </is>
      </c>
      <c r="C146">
        <f>HYPERLINK("http://www.linkedin.com/in/ceri-edwards-b2b69713")</f>
        <v/>
      </c>
      <c r="D146" t="inlineStr">
        <is>
          <t>ceri.edwards@fairmontcorporate.com</t>
        </is>
      </c>
      <c r="E146" t="inlineStr">
        <is>
          <t>Senior Partner</t>
        </is>
      </c>
      <c r="F146">
        <f>HYPERLINK("https://app.apollo.io/#/people/6455022eacbd0b000161ac6b")</f>
        <v/>
      </c>
      <c r="G146" t="inlineStr">
        <is>
          <t>Fairmont Corporate Limited</t>
        </is>
      </c>
      <c r="H146">
        <f>HYPERLINK("https://app.apollo.io/#/organizations/6048f62d0923a10001a27c58")</f>
        <v/>
      </c>
      <c r="I146">
        <f>HYPERLINK("http://www.fairmontcorporate.com/")</f>
        <v/>
      </c>
      <c r="J146">
        <f>HYPERLINK("http://www.linkedin.com/company/fairmont-corporate-limited")</f>
        <v/>
      </c>
      <c r="K146">
        <f>HYPERLINK("Not Found")</f>
        <v/>
      </c>
      <c r="L146">
        <f>HYPERLINK("Not Found")</f>
        <v/>
      </c>
      <c r="M146" t="inlineStr">
        <is>
          <t>Port Talbot, United Kingdom</t>
        </is>
      </c>
      <c r="N146" t="inlineStr">
        <is>
          <t>2</t>
        </is>
      </c>
      <c r="O146" t="inlineStr">
        <is>
          <t>Commercial Real Estate</t>
        </is>
      </c>
      <c r="P146" t="inlineStr">
        <is>
          <t>mergers,mergers,discretion,discretion</t>
        </is>
      </c>
    </row>
    <row r="147">
      <c r="A147" t="inlineStr">
        <is>
          <t>54ebc8f3746869444cf88c24</t>
        </is>
      </c>
      <c r="B147" t="inlineStr">
        <is>
          <t>Terry Trevarthen</t>
        </is>
      </c>
      <c r="C147">
        <f>HYPERLINK("http://www.linkedin.com/in/terry-trevarthen-a2b562b")</f>
        <v/>
      </c>
      <c r="D147" t="inlineStr">
        <is>
          <t>terry.trevarthen@miller-commercial.co.uk</t>
        </is>
      </c>
      <c r="E147" t="inlineStr">
        <is>
          <t>Owner</t>
        </is>
      </c>
      <c r="F147">
        <f>HYPERLINK("https://app.apollo.io/#/people/54ebc8f3746869444cf88c24")</f>
        <v/>
      </c>
      <c r="G147" t="inlineStr">
        <is>
          <t>Miller Commercial - Chartered Surveyors and Business Property Specialists</t>
        </is>
      </c>
      <c r="H147">
        <f>HYPERLINK("https://app.apollo.io/#/accounts/6577fe94037fac036b453e18")</f>
        <v/>
      </c>
      <c r="I147">
        <f>HYPERLINK("http://www.miller-commercial.co.uk/")</f>
        <v/>
      </c>
      <c r="J147">
        <f>HYPERLINK("http://www.linkedin.com/company/miller-commercial")</f>
        <v/>
      </c>
      <c r="K147">
        <f>HYPERLINK("https://twitter.com/MillerComProp")</f>
        <v/>
      </c>
      <c r="L147">
        <f>HYPERLINK("Not Found")</f>
        <v/>
      </c>
      <c r="M147" t="inlineStr">
        <is>
          <t>Truro, United Kingdom</t>
        </is>
      </c>
      <c r="N147" t="inlineStr">
        <is>
          <t>23</t>
        </is>
      </c>
      <c r="O147" t="inlineStr">
        <is>
          <t>Commercial Real Estate</t>
        </is>
      </c>
      <c r="P147" t="inlineStr">
        <is>
          <t>investment &amp; development,investment &amp; development</t>
        </is>
      </c>
    </row>
    <row r="148">
      <c r="A148" t="inlineStr">
        <is>
          <t>601f9c6863c5270001cd5210</t>
        </is>
      </c>
      <c r="B148" t="inlineStr">
        <is>
          <t>Richard Gilbert</t>
        </is>
      </c>
      <c r="C148">
        <f>HYPERLINK("http://www.linkedin.com/in/richard-gilbert-701b3648")</f>
        <v/>
      </c>
      <c r="D148" t="inlineStr">
        <is>
          <t>richard.gilbert@miller-commercial.co.uk</t>
        </is>
      </c>
      <c r="E148" t="inlineStr">
        <is>
          <t>Associate Partner</t>
        </is>
      </c>
      <c r="F148">
        <f>HYPERLINK("https://app.apollo.io/#/people/601f9c6863c5270001cd5210")</f>
        <v/>
      </c>
      <c r="G148" t="inlineStr">
        <is>
          <t>Miller Commercial - Chartered Surveyors and Business Property Specialists</t>
        </is>
      </c>
      <c r="H148">
        <f>HYPERLINK("https://app.apollo.io/#/accounts/6577fe94037fac036b453e18")</f>
        <v/>
      </c>
      <c r="I148">
        <f>HYPERLINK("http://www.miller-commercial.co.uk/")</f>
        <v/>
      </c>
      <c r="J148">
        <f>HYPERLINK("http://www.linkedin.com/company/miller-commercial")</f>
        <v/>
      </c>
      <c r="K148">
        <f>HYPERLINK("https://twitter.com/MillerComProp")</f>
        <v/>
      </c>
      <c r="L148">
        <f>HYPERLINK("Not Found")</f>
        <v/>
      </c>
      <c r="M148" t="inlineStr">
        <is>
          <t>Truro, United Kingdom</t>
        </is>
      </c>
      <c r="N148" t="inlineStr">
        <is>
          <t>23</t>
        </is>
      </c>
      <c r="O148" t="inlineStr">
        <is>
          <t>Commercial Real Estate</t>
        </is>
      </c>
      <c r="P148" t="inlineStr">
        <is>
          <t>investment &amp; development,investment &amp; development</t>
        </is>
      </c>
    </row>
    <row r="149">
      <c r="A149" t="inlineStr">
        <is>
          <t>64bfbb26690c5b000128916d</t>
        </is>
      </c>
      <c r="B149" t="inlineStr">
        <is>
          <t>Fola Ajomale</t>
        </is>
      </c>
      <c r="C149">
        <f>HYPERLINK("http://www.linkedin.com/in/fola-ajomale-24b0a91")</f>
        <v/>
      </c>
      <c r="D149" t="inlineStr">
        <is>
          <t>fajomale@capitalassociates.com</t>
        </is>
      </c>
      <c r="E149" t="inlineStr">
        <is>
          <t>Owner</t>
        </is>
      </c>
      <c r="F149">
        <f>HYPERLINK("https://app.apollo.io/#/people/64bfbb26690c5b000128916d")</f>
        <v/>
      </c>
      <c r="G149" t="inlineStr">
        <is>
          <t>Capital Associates</t>
        </is>
      </c>
      <c r="H149">
        <f>HYPERLINK("https://app.apollo.io/#/organizations/54a1353869702d4b2eeb6c00")</f>
        <v/>
      </c>
      <c r="I149">
        <f>HYPERLINK("http://www.capitalassociates.com/")</f>
        <v/>
      </c>
      <c r="J149">
        <f>HYPERLINK("http://www.linkedin.com/company/capital-associates")</f>
        <v/>
      </c>
      <c r="K149">
        <f>HYPERLINK("Not Found")</f>
        <v/>
      </c>
      <c r="L149">
        <f>HYPERLINK("Not Found")</f>
        <v/>
      </c>
      <c r="M149" t="inlineStr">
        <is>
          <t>England, United Kingdom</t>
        </is>
      </c>
      <c r="N149" t="inlineStr">
        <is>
          <t>58</t>
        </is>
      </c>
      <c r="O149" t="inlineStr">
        <is>
          <t>Commercial Real Estate</t>
        </is>
      </c>
      <c r="P149" t="inlineStr">
        <is>
          <t>development,development,brokerage,brokerage</t>
        </is>
      </c>
    </row>
    <row r="150">
      <c r="A150" t="inlineStr">
        <is>
          <t>6577f36537a15e011434ab2a</t>
        </is>
      </c>
      <c r="B150" t="inlineStr">
        <is>
          <t>Alex Hinchliffe</t>
        </is>
      </c>
      <c r="C150">
        <f>HYPERLINK("http://www.linkedin.com/in/alex-hinchliffe-a1753a13")</f>
        <v/>
      </c>
      <c r="D150" t="inlineStr">
        <is>
          <t>alex.hinchliffe@cbre.com</t>
        </is>
      </c>
      <c r="E150" t="inlineStr">
        <is>
          <t>CFO Data Centre Solutions</t>
        </is>
      </c>
      <c r="F150">
        <f>HYPERLINK("https://app.apollo.io/#/contacts/6577f36537a15e011434ab2a")</f>
        <v/>
      </c>
      <c r="G150" t="inlineStr">
        <is>
          <t>CBRE Global Workplace Solutions (GWS)</t>
        </is>
      </c>
      <c r="H150">
        <f>HYPERLINK("https://app.apollo.io/#/accounts/6577f36537a15e011434ab2c")</f>
        <v/>
      </c>
      <c r="I150">
        <f>HYPERLINK("http://www.cbre.com/")</f>
        <v/>
      </c>
      <c r="J150">
        <f>HYPERLINK("http://www.linkedin.com/company/cbre-gws")</f>
        <v/>
      </c>
      <c r="K150">
        <f>HYPERLINK("Not Found")</f>
        <v/>
      </c>
      <c r="L150">
        <f>HYPERLINK("Not Found")</f>
        <v/>
      </c>
      <c r="M150" t="inlineStr">
        <is>
          <t>London, United Kingdom</t>
        </is>
      </c>
      <c r="N150" t="inlineStr">
        <is>
          <t>15,000</t>
        </is>
      </c>
      <c r="O150" t="inlineStr">
        <is>
          <t>Commercial Real Estate</t>
        </is>
      </c>
      <c r="P150" t="inlineStr">
        <is>
          <t>project management,project management</t>
        </is>
      </c>
    </row>
    <row r="151">
      <c r="A151" t="inlineStr">
        <is>
          <t>5c3bbf3aa3ae611fc0756423</t>
        </is>
      </c>
      <c r="B151" t="inlineStr">
        <is>
          <t>Alan Kerr</t>
        </is>
      </c>
      <c r="C151">
        <f>HYPERLINK("http://www.linkedin.com/in/alan-kerr-51359ba")</f>
        <v/>
      </c>
      <c r="D151" t="inlineStr">
        <is>
          <t>alan@kerrgroup.us</t>
        </is>
      </c>
      <c r="E151" t="inlineStr">
        <is>
          <t>Owner</t>
        </is>
      </c>
      <c r="F151">
        <f>HYPERLINK("https://app.apollo.io/#/people/5c3bbf3aa3ae611fc0756423")</f>
        <v/>
      </c>
      <c r="G151" t="inlineStr">
        <is>
          <t>RE/MAX</t>
        </is>
      </c>
      <c r="H151">
        <f>HYPERLINK("https://app.apollo.io/#/organizations/59bb99b8a6da9824961e0feb")</f>
        <v/>
      </c>
      <c r="I151">
        <f>HYPERLINK("http://www.remax.com/")</f>
        <v/>
      </c>
      <c r="J151">
        <f>HYPERLINK("http://www.linkedin.com/company/remax")</f>
        <v/>
      </c>
      <c r="K151">
        <f>HYPERLINK("https://www.twitter.com/remax")</f>
        <v/>
      </c>
      <c r="L151">
        <f>HYPERLINK("https://facebook.com/remax")</f>
        <v/>
      </c>
      <c r="M151" t="inlineStr">
        <is>
          <t>Edinburgh, United Kingdom</t>
        </is>
      </c>
      <c r="N151" t="inlineStr">
        <is>
          <t>42,000</t>
        </is>
      </c>
      <c r="O151" t="inlineStr">
        <is>
          <t>Commercial Real Estate</t>
        </is>
      </c>
      <c r="P151" t="inlineStr">
        <is>
          <t>real estate,real estate,real estate investors,real estate investors</t>
        </is>
      </c>
    </row>
    <row r="152">
      <c r="A152" t="inlineStr">
        <is>
          <t>63b73f9c6d39270001f34024</t>
        </is>
      </c>
      <c r="B152" t="inlineStr">
        <is>
          <t>Brian Sherlock</t>
        </is>
      </c>
      <c r="C152">
        <f>HYPERLINK("http://www.linkedin.com/in/briansherlock")</f>
        <v/>
      </c>
      <c r="D152" t="inlineStr">
        <is>
          <t>brian.sherlock@hae.org.uk</t>
        </is>
      </c>
      <c r="E152" t="inlineStr">
        <is>
          <t>President</t>
        </is>
      </c>
      <c r="F152">
        <f>HYPERLINK("https://app.apollo.io/#/people/63b73f9c6d39270001f34024")</f>
        <v/>
      </c>
      <c r="G152" t="inlineStr">
        <is>
          <t>Hire Association Europe (HAE) and Event Hire Association (EHA)</t>
        </is>
      </c>
      <c r="H152">
        <f>HYPERLINK("https://app.apollo.io/#/organizations/54a1363569702d46f0230801")</f>
        <v/>
      </c>
      <c r="I152">
        <f>HYPERLINK("http://www.hae.org.uk/")</f>
        <v/>
      </c>
      <c r="J152">
        <f>HYPERLINK("http://www.linkedin.com/company/hire-association-europe-hae")</f>
        <v/>
      </c>
      <c r="K152">
        <f>HYPERLINK("https://twitter.com/hireassociation")</f>
        <v/>
      </c>
      <c r="L152">
        <f>HYPERLINK("https://facebook.com/HireAssociation")</f>
        <v/>
      </c>
      <c r="M152" t="inlineStr">
        <is>
          <t>Royal Leamington Spa, United Kingdom</t>
        </is>
      </c>
      <c r="N152" t="inlineStr">
        <is>
          <t>26</t>
        </is>
      </c>
      <c r="O152" t="inlineStr">
        <is>
          <t>Commercial Real Estate</t>
        </is>
      </c>
      <c r="P152" t="inlineStr">
        <is>
          <t>safehire,safehire,training &amp; careers,training &amp; careers</t>
        </is>
      </c>
    </row>
    <row r="153">
      <c r="A153" t="inlineStr">
        <is>
          <t>643145f9f373af0001ba5b50</t>
        </is>
      </c>
      <c r="B153" t="inlineStr">
        <is>
          <t>Simon Tubbs</t>
        </is>
      </c>
      <c r="C153">
        <f>HYPERLINK("http://www.linkedin.com/in/simon-tubbs-775a82250")</f>
        <v/>
      </c>
      <c r="D153" t="inlineStr">
        <is>
          <t>simon.tubbs@cowlingandwest.co.uk</t>
        </is>
      </c>
      <c r="E153" t="inlineStr">
        <is>
          <t>Valuation Partner</t>
        </is>
      </c>
      <c r="F153">
        <f>HYPERLINK("https://app.apollo.io/#/people/643145f9f373af0001ba5b50")</f>
        <v/>
      </c>
      <c r="G153" t="inlineStr">
        <is>
          <t>Vail Williams</t>
        </is>
      </c>
      <c r="H153">
        <f>HYPERLINK("https://app.apollo.io/#/accounts/6577f2d837a15e011434a82f")</f>
        <v/>
      </c>
      <c r="I153">
        <f>HYPERLINK("http://www.vailwilliams.com/")</f>
        <v/>
      </c>
      <c r="J153">
        <f>HYPERLINK("http://www.linkedin.com/company/vail-williams")</f>
        <v/>
      </c>
      <c r="K153">
        <f>HYPERLINK("https://twitter.com/vailwilliams")</f>
        <v/>
      </c>
      <c r="L153">
        <f>HYPERLINK("https://www.facebook.com/vailwilliams")</f>
        <v/>
      </c>
      <c r="M153" t="inlineStr">
        <is>
          <t>Broadstone, United Kingdom</t>
        </is>
      </c>
      <c r="N153" t="inlineStr">
        <is>
          <t>200</t>
        </is>
      </c>
      <c r="O153" t="inlineStr">
        <is>
          <t>Commercial Real Estate</t>
        </is>
      </c>
      <c r="P153" t="inlineStr">
        <is>
          <t>real estate,real estate,real estate agents,real estate agents</t>
        </is>
      </c>
    </row>
    <row r="154">
      <c r="A154" t="inlineStr">
        <is>
          <t>65183d72242c87000157d40f</t>
        </is>
      </c>
      <c r="B154" t="inlineStr">
        <is>
          <t>Timour Folad</t>
        </is>
      </c>
      <c r="C154">
        <f>HYPERLINK("http://www.linkedin.com/in/timourfolad")</f>
        <v/>
      </c>
      <c r="D154" t="inlineStr">
        <is>
          <t>t.folad@kingworths.com</t>
        </is>
      </c>
      <c r="E154" t="inlineStr">
        <is>
          <t>Founder | MD</t>
        </is>
      </c>
      <c r="F154">
        <f>HYPERLINK("https://app.apollo.io/#/people/65183d72242c87000157d40f")</f>
        <v/>
      </c>
      <c r="G154" t="inlineStr">
        <is>
          <t>Kingworths</t>
        </is>
      </c>
      <c r="H154">
        <f>HYPERLINK("https://app.apollo.io/#/organizations/631637986ef1a4008b0545dc")</f>
        <v/>
      </c>
      <c r="I154">
        <f>HYPERLINK("http://www.kingworths.com/")</f>
        <v/>
      </c>
      <c r="J154">
        <f>HYPERLINK("http://www.linkedin.com/company/kingworths")</f>
        <v/>
      </c>
      <c r="K154">
        <f>HYPERLINK("Not Found")</f>
        <v/>
      </c>
      <c r="L154">
        <f>HYPERLINK("Not Found")</f>
        <v/>
      </c>
      <c r="M154" t="inlineStr">
        <is>
          <t>London, United Kingdom</t>
        </is>
      </c>
      <c r="N154" t="inlineStr">
        <is>
          <t>1</t>
        </is>
      </c>
      <c r="O154" t="inlineStr">
        <is>
          <t>Commercial Real Estate</t>
        </is>
      </c>
      <c r="P154" t="inlineStr">
        <is>
          <t>management,management,e class units,e class units</t>
        </is>
      </c>
    </row>
    <row r="155">
      <c r="A155" t="inlineStr">
        <is>
          <t>6577fd9f037fac0223454c4c</t>
        </is>
      </c>
      <c r="B155" t="inlineStr">
        <is>
          <t>Tony Horrell</t>
        </is>
      </c>
      <c r="C155">
        <f>HYPERLINK("http://www.linkedin.com/in/tony-horrell-b776a552")</f>
        <v/>
      </c>
      <c r="D155" t="inlineStr">
        <is>
          <t>tony.horrell@colliers.com</t>
        </is>
      </c>
      <c r="E155" t="inlineStr">
        <is>
          <t>Chief Executive Officer | UK and Ireland</t>
        </is>
      </c>
      <c r="F155">
        <f>HYPERLINK("https://app.apollo.io/#/contacts/6577fd9f037fac0223454c4c")</f>
        <v/>
      </c>
      <c r="G155" t="inlineStr">
        <is>
          <t>Colliers</t>
        </is>
      </c>
      <c r="H155">
        <f>HYPERLINK("https://app.apollo.io/#/accounts/6577bc4da3b9550198ec6817")</f>
        <v/>
      </c>
      <c r="I155">
        <f>HYPERLINK("http://www.colliers.com/")</f>
        <v/>
      </c>
      <c r="J155">
        <f>HYPERLINK("http://www.linkedin.com/company/colliers")</f>
        <v/>
      </c>
      <c r="K155">
        <f>HYPERLINK("https://twitter.com/Colliers")</f>
        <v/>
      </c>
      <c r="L155">
        <f>HYPERLINK("https://facebook.com/colliersinternational/")</f>
        <v/>
      </c>
      <c r="M155" t="inlineStr">
        <is>
          <t>London, United Kingdom</t>
        </is>
      </c>
      <c r="N155" t="inlineStr">
        <is>
          <t>25,000</t>
        </is>
      </c>
      <c r="O155" t="inlineStr">
        <is>
          <t>Commercial Real Estate</t>
        </is>
      </c>
      <c r="P155" t="inlineStr">
        <is>
          <t>brokerage &amp; agency,brokerage &amp; agency</t>
        </is>
      </c>
    </row>
    <row r="156">
      <c r="A156" t="inlineStr">
        <is>
          <t>6113c1d0bc07ce0001558f60</t>
        </is>
      </c>
      <c r="B156" t="inlineStr">
        <is>
          <t>Krisztina Varga-Nagy</t>
        </is>
      </c>
      <c r="C156">
        <f>HYPERLINK("http://www.linkedin.com/in/krisztina-varga-nagy-9122513")</f>
        <v/>
      </c>
      <c r="D156" t="inlineStr">
        <is>
          <t>krisztina.varga-nagy@ingka.com</t>
        </is>
      </c>
      <c r="E156" t="inlineStr">
        <is>
          <t>Head of Customer Experience &amp; Marketing, London (Ingka Group)</t>
        </is>
      </c>
      <c r="F156">
        <f>HYPERLINK("https://app.apollo.io/#/people/6113c1d0bc07ce0001558f60")</f>
        <v/>
      </c>
      <c r="G156" t="inlineStr">
        <is>
          <t>Ingka Centres</t>
        </is>
      </c>
      <c r="H156">
        <f>HYPERLINK("https://app.apollo.io/#/organizations/54a1271969702d9313467000")</f>
        <v/>
      </c>
      <c r="I156">
        <f>HYPERLINK("http://www.ingkacentres.com/")</f>
        <v/>
      </c>
      <c r="J156">
        <f>HYPERLINK("http://www.linkedin.com/company/ingka-centres")</f>
        <v/>
      </c>
      <c r="K156">
        <f>HYPERLINK("https://twitter.com/ingkacentres")</f>
        <v/>
      </c>
      <c r="L156">
        <f>HYPERLINK("https://www.facebook.com/ingkacentres")</f>
        <v/>
      </c>
      <c r="M156" t="inlineStr">
        <is>
          <t>London, United Kingdom</t>
        </is>
      </c>
      <c r="N156" t="inlineStr">
        <is>
          <t>890</t>
        </is>
      </c>
      <c r="O156" t="inlineStr">
        <is>
          <t>Commercial Real Estate</t>
        </is>
      </c>
      <c r="P156" t="inlineStr">
        <is>
          <t>retail,retail,construction,construction</t>
        </is>
      </c>
    </row>
    <row r="157">
      <c r="A157" t="inlineStr">
        <is>
          <t>6577f34537a15e019834433a</t>
        </is>
      </c>
      <c r="B157" t="inlineStr">
        <is>
          <t>Kathy Whitehouse</t>
        </is>
      </c>
      <c r="C157">
        <f>HYPERLINK("http://www.linkedin.com/in/kathy-whitehouse-23baa46b")</f>
        <v/>
      </c>
      <c r="D157" t="inlineStr">
        <is>
          <t>kathy.whitehouse@landsec.com</t>
        </is>
      </c>
      <c r="E157" t="inlineStr">
        <is>
          <t>PA to CEO</t>
        </is>
      </c>
      <c r="F157">
        <f>HYPERLINK("https://app.apollo.io/#/contacts/6577f34537a15e019834433a")</f>
        <v/>
      </c>
      <c r="G157" t="inlineStr">
        <is>
          <t>Landsec</t>
        </is>
      </c>
      <c r="H157">
        <f>HYPERLINK("https://app.apollo.io/#/accounts/6577bb0a9683330114f91011")</f>
        <v/>
      </c>
      <c r="I157">
        <f>HYPERLINK("http://www.landsec.com/")</f>
        <v/>
      </c>
      <c r="J157">
        <f>HYPERLINK("http://www.linkedin.com/company/landsec")</f>
        <v/>
      </c>
      <c r="K157">
        <f>HYPERLINK("https://twitter.com/landsecgroup?lang=en")</f>
        <v/>
      </c>
      <c r="L157">
        <f>HYPERLINK("https://facebook.com/pages/category/Real-Estate-Company/Landsec-Group-335042077050643/")</f>
        <v/>
      </c>
      <c r="M157" t="inlineStr">
        <is>
          <t>England, United Kingdom</t>
        </is>
      </c>
      <c r="N157" t="inlineStr">
        <is>
          <t>860</t>
        </is>
      </c>
      <c r="O157" t="inlineStr">
        <is>
          <t>Commercial Real Estate</t>
        </is>
      </c>
      <c r="P157" t="inlineStr">
        <is>
          <t>property investment,property investment</t>
        </is>
      </c>
    </row>
    <row r="158">
      <c r="A158" t="inlineStr">
        <is>
          <t>55709db673696420ada10900</t>
        </is>
      </c>
      <c r="B158" t="inlineStr">
        <is>
          <t>David Apthorp</t>
        </is>
      </c>
      <c r="C158">
        <f>HYPERLINK("http://www.linkedin.com/in/david-apthorp-805b6853")</f>
        <v/>
      </c>
      <c r="D158" t="inlineStr">
        <is>
          <t>david.apthorp@levyrealestate.co.uk</t>
        </is>
      </c>
      <c r="E158" t="inlineStr">
        <is>
          <t>Equity Partner</t>
        </is>
      </c>
      <c r="F158">
        <f>HYPERLINK("https://app.apollo.io/#/people/55709db673696420ada10900")</f>
        <v/>
      </c>
      <c r="G158" t="inlineStr">
        <is>
          <t>Levy Real Estate</t>
        </is>
      </c>
      <c r="H158">
        <f>HYPERLINK("https://app.apollo.io/#/accounts/6577f46e37a15e011434b20c")</f>
        <v/>
      </c>
      <c r="I158">
        <f>HYPERLINK("http://www.levyrealestate.co.uk/")</f>
        <v/>
      </c>
      <c r="J158">
        <f>HYPERLINK("http://www.linkedin.com/company/levyrealestate")</f>
        <v/>
      </c>
      <c r="K158">
        <f>HYPERLINK("Not Found")</f>
        <v/>
      </c>
      <c r="L158">
        <f>HYPERLINK("Not Found")</f>
        <v/>
      </c>
      <c r="M158" t="inlineStr">
        <is>
          <t>London, United Kingdom</t>
        </is>
      </c>
      <c r="N158" t="inlineStr">
        <is>
          <t>50</t>
        </is>
      </c>
      <c r="O158" t="inlineStr">
        <is>
          <t>Commercial Real Estate</t>
        </is>
      </c>
    </row>
    <row r="159">
      <c r="A159" t="inlineStr">
        <is>
          <t>54a27f7f746869382523d227</t>
        </is>
      </c>
      <c r="B159" t="inlineStr">
        <is>
          <t>Iain Griffiths</t>
        </is>
      </c>
      <c r="C159">
        <f>HYPERLINK("http://www.linkedin.com/in/iain-griffiths-154b0926")</f>
        <v/>
      </c>
      <c r="D159" t="inlineStr">
        <is>
          <t>iain.griffiths@landsec.com</t>
        </is>
      </c>
      <c r="E159" t="inlineStr">
        <is>
          <t>Business Partner</t>
        </is>
      </c>
      <c r="F159">
        <f>HYPERLINK("https://app.apollo.io/#/people/54a27f7f746869382523d227")</f>
        <v/>
      </c>
      <c r="G159" t="inlineStr">
        <is>
          <t>Landsec</t>
        </is>
      </c>
      <c r="H159">
        <f>HYPERLINK("https://app.apollo.io/#/accounts/6577bb0a9683330114f91011")</f>
        <v/>
      </c>
      <c r="I159">
        <f>HYPERLINK("http://www.landsec.com/")</f>
        <v/>
      </c>
      <c r="J159">
        <f>HYPERLINK("http://www.linkedin.com/company/landsec")</f>
        <v/>
      </c>
      <c r="K159">
        <f>HYPERLINK("https://twitter.com/landsecgroup?lang=en")</f>
        <v/>
      </c>
      <c r="L159">
        <f>HYPERLINK("https://facebook.com/pages/category/Real-Estate-Company/Landsec-Group-335042077050643/")</f>
        <v/>
      </c>
      <c r="M159" t="inlineStr">
        <is>
          <t>Cold Blow, United Kingdom</t>
        </is>
      </c>
      <c r="N159" t="inlineStr">
        <is>
          <t>860</t>
        </is>
      </c>
      <c r="O159" t="inlineStr">
        <is>
          <t>Commercial Real Estate</t>
        </is>
      </c>
      <c r="P159" t="inlineStr">
        <is>
          <t>property investment,property investment</t>
        </is>
      </c>
    </row>
    <row r="160">
      <c r="A160" t="inlineStr">
        <is>
          <t>6577f42637a15e022d340c22</t>
        </is>
      </c>
      <c r="B160" t="inlineStr">
        <is>
          <t>Gosia Nieszporek</t>
        </is>
      </c>
      <c r="C160">
        <f>HYPERLINK("http://www.linkedin.com/in/gosia-nieszporek-18091673")</f>
        <v/>
      </c>
      <c r="D160" t="inlineStr">
        <is>
          <t>gosia.nieszporek@cowiesburn.co.uk</t>
        </is>
      </c>
      <c r="E160" t="inlineStr">
        <is>
          <t>Partner</t>
        </is>
      </c>
      <c r="F160">
        <f>HYPERLINK("https://app.apollo.io/#/contacts/6577f42637a15e022d340c22")</f>
        <v/>
      </c>
      <c r="G160" t="inlineStr">
        <is>
          <t>Cowiesburn</t>
        </is>
      </c>
      <c r="H160">
        <f>HYPERLINK("https://app.apollo.io/#/accounts/6577f42637a15e022d340c24")</f>
        <v/>
      </c>
      <c r="I160">
        <f>HYPERLINK("http://www.cowiesburn.co.uk/")</f>
        <v/>
      </c>
      <c r="J160">
        <f>HYPERLINK("http://www.linkedin.com/company/cowiesburn-asset-management-llp")</f>
        <v/>
      </c>
      <c r="K160">
        <f>HYPERLINK("Not Found")</f>
        <v/>
      </c>
      <c r="L160">
        <f>HYPERLINK("Not Found")</f>
        <v/>
      </c>
      <c r="M160" t="inlineStr">
        <is>
          <t>Edinburgh, United Kingdom</t>
        </is>
      </c>
      <c r="N160" t="inlineStr">
        <is>
          <t>24</t>
        </is>
      </c>
      <c r="O160" t="inlineStr">
        <is>
          <t>Commercial Real Estate</t>
        </is>
      </c>
      <c r="P160" t="inlineStr">
        <is>
          <t>commercial property management,commercial property management</t>
        </is>
      </c>
    </row>
    <row r="161">
      <c r="A161" t="inlineStr">
        <is>
          <t>6577f43237a15e0198344745</t>
        </is>
      </c>
      <c r="B161" t="inlineStr">
        <is>
          <t>Will Thomas</t>
        </is>
      </c>
      <c r="C161">
        <f>HYPERLINK("http://www.linkedin.com/in/willthomasklm")</f>
        <v/>
      </c>
      <c r="D161" t="inlineStr">
        <is>
          <t>wthomas@klmretail.com</t>
        </is>
      </c>
      <c r="E161" t="inlineStr">
        <is>
          <t>Partner</t>
        </is>
      </c>
      <c r="F161">
        <f>HYPERLINK("https://app.apollo.io/#/contacts/6577f43237a15e0198344745")</f>
        <v/>
      </c>
      <c r="G161" t="inlineStr">
        <is>
          <t>KLM Real Estate</t>
        </is>
      </c>
      <c r="H161">
        <f>HYPERLINK("https://app.apollo.io/#/accounts/6577f3c437a15e01983444a0")</f>
        <v/>
      </c>
      <c r="I161">
        <f>HYPERLINK("http://www.klm-re.com/")</f>
        <v/>
      </c>
      <c r="J161">
        <f>HYPERLINK("http://www.linkedin.com/company/klm-realestate")</f>
        <v/>
      </c>
      <c r="K161">
        <f>HYPERLINK("https://twitter.com/klmrealestate")</f>
        <v/>
      </c>
      <c r="L161">
        <f>HYPERLINK("Not Found")</f>
        <v/>
      </c>
      <c r="M161" t="inlineStr">
        <is>
          <t>London, United Kingdom</t>
        </is>
      </c>
      <c r="N161" t="inlineStr">
        <is>
          <t>25</t>
        </is>
      </c>
      <c r="O161" t="inlineStr">
        <is>
          <t>Commercial Real Estate</t>
        </is>
      </c>
      <c r="P161" t="inlineStr">
        <is>
          <t>agency,agency,investment,investment</t>
        </is>
      </c>
    </row>
    <row r="162">
      <c r="A162" t="inlineStr">
        <is>
          <t>6577f47a37a15e022d340d32</t>
        </is>
      </c>
      <c r="B162" t="inlineStr">
        <is>
          <t>Paul Gummer</t>
        </is>
      </c>
      <c r="C162">
        <f>HYPERLINK("http://www.linkedin.com/in/paul-gummer-966a3314")</f>
        <v/>
      </c>
      <c r="D162" t="inlineStr">
        <is>
          <t>paul.gummer@cushwake.com</t>
        </is>
      </c>
      <c r="E162" t="inlineStr">
        <is>
          <t>Partner</t>
        </is>
      </c>
      <c r="F162">
        <f>HYPERLINK("https://app.apollo.io/#/contacts/6577f47a37a15e022d340d32")</f>
        <v/>
      </c>
      <c r="G162" t="inlineStr">
        <is>
          <t>Cushman &amp; Wakefield - Formerly DTZ</t>
        </is>
      </c>
      <c r="H162">
        <f>HYPERLINK("https://app.apollo.io/#/accounts/6577f3bd37a15e02e633e739")</f>
        <v/>
      </c>
      <c r="I162">
        <f>HYPERLINK("http://www.cushwake.com/")</f>
        <v/>
      </c>
      <c r="J162">
        <f>HYPERLINK("http://www.linkedin.com/company/dtz")</f>
        <v/>
      </c>
      <c r="K162">
        <f>HYPERLINK("Not Found")</f>
        <v/>
      </c>
      <c r="L162">
        <f>HYPERLINK("Not Found")</f>
        <v/>
      </c>
      <c r="M162" t="inlineStr">
        <is>
          <t>London, United Kingdom</t>
        </is>
      </c>
      <c r="N162" t="inlineStr">
        <is>
          <t>3,800</t>
        </is>
      </c>
      <c r="O162" t="inlineStr">
        <is>
          <t>Commercial Real Estate</t>
        </is>
      </c>
      <c r="P162" t="inlineStr">
        <is>
          <t>agency leasing,agency leasing,capital markets,capital markets</t>
        </is>
      </c>
    </row>
    <row r="163">
      <c r="A163" t="inlineStr">
        <is>
          <t>6577fe32037fac019c455c98</t>
        </is>
      </c>
      <c r="B163" t="inlineStr">
        <is>
          <t>Tariq Ansari</t>
        </is>
      </c>
      <c r="C163">
        <f>HYPERLINK("http://www.linkedin.com/in/tariq-ansari-910502140")</f>
        <v/>
      </c>
      <c r="D163" t="inlineStr">
        <is>
          <t>tariq.ansari@rivercommercial.com</t>
        </is>
      </c>
      <c r="E163" t="inlineStr">
        <is>
          <t>Partner</t>
        </is>
      </c>
      <c r="F163">
        <f>HYPERLINK("https://app.apollo.io/#/contacts/6577fe32037fac019c455c98")</f>
        <v/>
      </c>
      <c r="G163" t="inlineStr">
        <is>
          <t>Capital Rivers Commercial</t>
        </is>
      </c>
      <c r="H163">
        <f>HYPERLINK("https://app.apollo.io/#/accounts/6577fe32037fac019c455c9a")</f>
        <v/>
      </c>
      <c r="I163">
        <f>HYPERLINK("http://www.capitalrivers.com/")</f>
        <v/>
      </c>
      <c r="J163">
        <f>HYPERLINK("http://www.linkedin.com/company/capital-rivers-commercial")</f>
        <v/>
      </c>
      <c r="K163">
        <f>HYPERLINK("Not Found")</f>
        <v/>
      </c>
      <c r="L163">
        <f>HYPERLINK("https://www.facebook.com/capitalrivers")</f>
        <v/>
      </c>
      <c r="M163" t="inlineStr">
        <is>
          <t>London, United Kingdom</t>
        </is>
      </c>
      <c r="N163" t="inlineStr">
        <is>
          <t>20</t>
        </is>
      </c>
      <c r="O163" t="inlineStr">
        <is>
          <t>Commercial Real Estate</t>
        </is>
      </c>
      <c r="P163" t="inlineStr">
        <is>
          <t>retail,retail,development,development</t>
        </is>
      </c>
    </row>
    <row r="164">
      <c r="A164" t="inlineStr">
        <is>
          <t>6577f44937a15e019834485b</t>
        </is>
      </c>
      <c r="B164" t="inlineStr">
        <is>
          <t>Danny Pinkus</t>
        </is>
      </c>
      <c r="C164">
        <f>HYPERLINK("http://www.linkedin.com/in/dannypinkus")</f>
        <v/>
      </c>
      <c r="D164" t="inlineStr">
        <is>
          <t>danny@pinkus.co.uk</t>
        </is>
      </c>
      <c r="E164" t="inlineStr">
        <is>
          <t>Partner</t>
        </is>
      </c>
      <c r="F164">
        <f>HYPERLINK("https://app.apollo.io/#/contacts/6577f44937a15e019834485b")</f>
        <v/>
      </c>
      <c r="G164" t="inlineStr">
        <is>
          <t>Robert Pinkus &amp; Co</t>
        </is>
      </c>
      <c r="H164">
        <f>HYPERLINK("https://app.apollo.io/#/accounts/6577f44937a15e019834485d")</f>
        <v/>
      </c>
      <c r="I164">
        <f>HYPERLINK("http://www.pinkus.co.uk/")</f>
        <v/>
      </c>
      <c r="J164">
        <f>HYPERLINK("http://www.linkedin.com/company/robert-pinkus-management-services-ltd")</f>
        <v/>
      </c>
      <c r="K164">
        <f>HYPERLINK("https://twitter.com/robertpinkus")</f>
        <v/>
      </c>
      <c r="L164">
        <f>HYPERLINK("https://www.facebook.com/robert.pinkus.37")</f>
        <v/>
      </c>
      <c r="M164" t="inlineStr">
        <is>
          <t>Preston, United Kingdom</t>
        </is>
      </c>
      <c r="N164" t="inlineStr">
        <is>
          <t>4</t>
        </is>
      </c>
      <c r="O164" t="inlineStr">
        <is>
          <t>Commercial Real Estate</t>
        </is>
      </c>
    </row>
    <row r="165">
      <c r="A165" t="inlineStr">
        <is>
          <t>6577f48e37a15e02e633e8c0</t>
        </is>
      </c>
      <c r="B165" t="inlineStr">
        <is>
          <t>Hannah Read</t>
        </is>
      </c>
      <c r="C165">
        <f>HYPERLINK("http://www.linkedin.com/in/hannah-read-a85aa733")</f>
        <v/>
      </c>
      <c r="D165" t="inlineStr">
        <is>
          <t>hannah@tavistockbow.com</t>
        </is>
      </c>
      <c r="E165" t="inlineStr">
        <is>
          <t>Partner</t>
        </is>
      </c>
      <c r="F165">
        <f>HYPERLINK("https://app.apollo.io/#/contacts/6577f48e37a15e02e633e8c0")</f>
        <v/>
      </c>
      <c r="G165" t="inlineStr">
        <is>
          <t>Tavistock Bow</t>
        </is>
      </c>
      <c r="H165">
        <f>HYPERLINK("https://app.apollo.io/#/accounts/6577f41937a15e0198344675")</f>
        <v/>
      </c>
      <c r="I165">
        <f>HYPERLINK("http://www.tavistockbow.com/")</f>
        <v/>
      </c>
      <c r="J165">
        <f>HYPERLINK("http://www.linkedin.com/company/tavistock-bow")</f>
        <v/>
      </c>
      <c r="K165">
        <f>HYPERLINK("https://twitter.com/tavistockbow")</f>
        <v/>
      </c>
      <c r="L165">
        <f>HYPERLINK("https://www.facebook.com/tavistockbow")</f>
        <v/>
      </c>
      <c r="M165" t="inlineStr">
        <is>
          <t>London, United Kingdom</t>
        </is>
      </c>
      <c r="N165" t="inlineStr">
        <is>
          <t>9</t>
        </is>
      </c>
      <c r="O165" t="inlineStr">
        <is>
          <t>Commercial Real Estate</t>
        </is>
      </c>
      <c r="P165" t="inlineStr">
        <is>
          <t>commercial real estate,commercial real estate</t>
        </is>
      </c>
    </row>
    <row r="166">
      <c r="A166" t="inlineStr">
        <is>
          <t>6577fdc0037fac0114456f2b</t>
        </is>
      </c>
      <c r="B166" t="inlineStr">
        <is>
          <t>Matthew Noble</t>
        </is>
      </c>
      <c r="C166">
        <f>HYPERLINK("http://www.linkedin.com/in/matthew-noble-a9707b31")</f>
        <v/>
      </c>
      <c r="D166" t="inlineStr">
        <is>
          <t>mnoble@nobleharris.co.uk</t>
        </is>
      </c>
      <c r="E166" t="inlineStr">
        <is>
          <t>Partner</t>
        </is>
      </c>
      <c r="F166">
        <f>HYPERLINK("https://app.apollo.io/#/contacts/6577fdc0037fac0114456f2b")</f>
        <v/>
      </c>
      <c r="G166" t="inlineStr">
        <is>
          <t>Noble Harris</t>
        </is>
      </c>
      <c r="H166">
        <f>HYPERLINK("https://app.apollo.io/#/accounts/6577fdc0037fac0114456f2d")</f>
        <v/>
      </c>
      <c r="I166">
        <f>HYPERLINK("http://www.nobleharris.co.uk/")</f>
        <v/>
      </c>
      <c r="J166">
        <f>HYPERLINK("http://www.linkedin.com/company/the-noble-harris-partnership")</f>
        <v/>
      </c>
      <c r="K166">
        <f>HYPERLINK("Not Found")</f>
        <v/>
      </c>
      <c r="L166">
        <f>HYPERLINK("Not Found")</f>
        <v/>
      </c>
      <c r="M166" t="inlineStr">
        <is>
          <t>London, United Kingdom</t>
        </is>
      </c>
      <c r="N166" t="inlineStr">
        <is>
          <t>7</t>
        </is>
      </c>
      <c r="O166" t="inlineStr">
        <is>
          <t>Commercial Real Estate</t>
        </is>
      </c>
      <c r="P166" t="inlineStr">
        <is>
          <t>rent reviews,rent reviews,commercial property management,commercial property management</t>
        </is>
      </c>
    </row>
    <row r="167">
      <c r="A167" t="inlineStr">
        <is>
          <t>6577f3d137a15e011434ad6e</t>
        </is>
      </c>
      <c r="B167" t="inlineStr">
        <is>
          <t>Mike Lewis</t>
        </is>
      </c>
      <c r="C167">
        <f>HYPERLINK("http://www.linkedin.com/in/mike-lewis-96798626")</f>
        <v/>
      </c>
      <c r="D167" t="inlineStr">
        <is>
          <t>mike.lewis@michaelrogers.co.uk</t>
        </is>
      </c>
      <c r="E167" t="inlineStr">
        <is>
          <t>Partner</t>
        </is>
      </c>
      <c r="F167">
        <f>HYPERLINK("https://app.apollo.io/#/contacts/6577f3d137a15e011434ad6e")</f>
        <v/>
      </c>
      <c r="G167" t="inlineStr">
        <is>
          <t>Michael Rogers</t>
        </is>
      </c>
      <c r="H167">
        <f>HYPERLINK("https://app.apollo.io/#/accounts/6577f3d137a15e011434ad70")</f>
        <v/>
      </c>
      <c r="I167">
        <f>HYPERLINK("http://www.michaelrogers.co.uk/")</f>
        <v/>
      </c>
      <c r="J167">
        <f>HYPERLINK("http://www.linkedin.com/company/michael-rogers")</f>
        <v/>
      </c>
      <c r="K167">
        <f>HYPERLINK("Not Found")</f>
        <v/>
      </c>
      <c r="L167">
        <f>HYPERLINK("https://www.facebook.com/MichaelRogersLLP")</f>
        <v/>
      </c>
      <c r="M167" t="inlineStr">
        <is>
          <t>Sevenoaks Weald, United Kingdom</t>
        </is>
      </c>
      <c r="N167" t="inlineStr">
        <is>
          <t>10</t>
        </is>
      </c>
      <c r="O167" t="inlineStr">
        <is>
          <t>Commercial Real Estate</t>
        </is>
      </c>
      <c r="P167" t="inlineStr">
        <is>
          <t>valuations,valuations,compulsory purchase,compulsory purchase</t>
        </is>
      </c>
    </row>
    <row r="168">
      <c r="A168" t="inlineStr">
        <is>
          <t>6577fe26037fac0114457265</t>
        </is>
      </c>
      <c r="B168" t="inlineStr">
        <is>
          <t>Tony Hindley</t>
        </is>
      </c>
      <c r="C168">
        <f>HYPERLINK("http://www.linkedin.com/in/tony-hindley-9748b244")</f>
        <v/>
      </c>
      <c r="D168" t="inlineStr">
        <is>
          <t>tony@hindleylawrence.co.uk</t>
        </is>
      </c>
      <c r="E168" t="inlineStr">
        <is>
          <t>Partner</t>
        </is>
      </c>
      <c r="F168">
        <f>HYPERLINK("https://app.apollo.io/#/contacts/6577fe26037fac0114457265")</f>
        <v/>
      </c>
      <c r="G168" t="inlineStr">
        <is>
          <t>Hindley Lawrence Ltd</t>
        </is>
      </c>
      <c r="H168">
        <f>HYPERLINK("https://app.apollo.io/#/accounts/6577fe26037fac0114457267")</f>
        <v/>
      </c>
      <c r="I168">
        <f>HYPERLINK("http://www.hindleylawrence.co.uk/")</f>
        <v/>
      </c>
      <c r="J168">
        <f>HYPERLINK("http://www.linkedin.com/company/hindley-lawrence")</f>
        <v/>
      </c>
      <c r="K168">
        <f>HYPERLINK("Not Found")</f>
        <v/>
      </c>
      <c r="L168">
        <f>HYPERLINK("Not Found")</f>
        <v/>
      </c>
      <c r="M168" t="inlineStr">
        <is>
          <t>Manchester, United Kingdom</t>
        </is>
      </c>
      <c r="N168" t="inlineStr">
        <is>
          <t>3</t>
        </is>
      </c>
      <c r="O168" t="inlineStr">
        <is>
          <t>Commercial Real Estate</t>
        </is>
      </c>
      <c r="P168" t="inlineStr">
        <is>
          <t>filling stations,filling stations,commercial property advisor,commercial property advisor</t>
        </is>
      </c>
    </row>
    <row r="169">
      <c r="A169" t="inlineStr">
        <is>
          <t>657802d242fe9f00fc3fbbfa</t>
        </is>
      </c>
      <c r="B169" t="inlineStr">
        <is>
          <t>David Feeney</t>
        </is>
      </c>
      <c r="C169">
        <f>HYPERLINK("http://www.linkedin.com/in/david-feeney-14652541")</f>
        <v/>
      </c>
      <c r="D169" t="inlineStr">
        <is>
          <t>david.feeney@cushwake.com</t>
        </is>
      </c>
      <c r="E169" t="inlineStr">
        <is>
          <t>Partner</t>
        </is>
      </c>
      <c r="F169">
        <f>HYPERLINK("https://app.apollo.io/#/contacts/657802d242fe9f00fc3fbbfa")</f>
        <v/>
      </c>
      <c r="G169" t="inlineStr">
        <is>
          <t>Cushman &amp; Wakefield - Formerly DTZ</t>
        </is>
      </c>
      <c r="H169">
        <f>HYPERLINK("https://app.apollo.io/#/accounts/6577f3bd37a15e02e633e739")</f>
        <v/>
      </c>
      <c r="I169">
        <f>HYPERLINK("http://www.cushwake.com/")</f>
        <v/>
      </c>
      <c r="J169">
        <f>HYPERLINK("http://www.linkedin.com/company/dtz")</f>
        <v/>
      </c>
      <c r="K169">
        <f>HYPERLINK("Not Found")</f>
        <v/>
      </c>
      <c r="L169">
        <f>HYPERLINK("Not Found")</f>
        <v/>
      </c>
      <c r="M169" t="inlineStr">
        <is>
          <t>Manchester, United Kingdom</t>
        </is>
      </c>
      <c r="N169" t="inlineStr">
        <is>
          <t>3,800</t>
        </is>
      </c>
      <c r="O169" t="inlineStr">
        <is>
          <t>Commercial Real Estate</t>
        </is>
      </c>
      <c r="P169" t="inlineStr">
        <is>
          <t>agency leasing,agency leasing,capital markets,capital markets</t>
        </is>
      </c>
    </row>
    <row r="170">
      <c r="A170" t="inlineStr">
        <is>
          <t>6577fe01037fac02ac45428a</t>
        </is>
      </c>
      <c r="B170" t="inlineStr">
        <is>
          <t>Mark Segal</t>
        </is>
      </c>
      <c r="C170">
        <f>HYPERLINK("http://www.linkedin.com/in/mark-segal-15bb7299")</f>
        <v/>
      </c>
      <c r="D170" t="inlineStr">
        <is>
          <t>mark.segal@brasierfreeth.com</t>
        </is>
      </c>
      <c r="E170" t="inlineStr">
        <is>
          <t>Partner</t>
        </is>
      </c>
      <c r="F170">
        <f>HYPERLINK("https://app.apollo.io/#/contacts/6577fe01037fac02ac45428a")</f>
        <v/>
      </c>
      <c r="G170" t="inlineStr">
        <is>
          <t>Brasier Freeth</t>
        </is>
      </c>
      <c r="H170">
        <f>HYPERLINK("https://app.apollo.io/#/accounts/6577f46837a15e0198344918")</f>
        <v/>
      </c>
      <c r="I170">
        <f>HYPERLINK("http://www.brasierfreeth.com/")</f>
        <v/>
      </c>
      <c r="J170">
        <f>HYPERLINK("http://www.linkedin.com/company/brasier-freeth-llp")</f>
        <v/>
      </c>
      <c r="K170">
        <f>HYPERLINK("https://twitter.com/brasierfreeth")</f>
        <v/>
      </c>
      <c r="L170">
        <f>HYPERLINK("Not Found")</f>
        <v/>
      </c>
      <c r="M170" t="inlineStr">
        <is>
          <t>London, United Kingdom</t>
        </is>
      </c>
      <c r="N170" t="inlineStr">
        <is>
          <t>37</t>
        </is>
      </c>
      <c r="O170" t="inlineStr">
        <is>
          <t>Commercial Real Estate</t>
        </is>
      </c>
      <c r="P170" t="inlineStr">
        <is>
          <t>commercial property acquisitions,commercial property acquisitions</t>
        </is>
      </c>
    </row>
    <row r="171">
      <c r="A171" t="inlineStr">
        <is>
          <t>6577f42c37a15e022d340c49</t>
        </is>
      </c>
      <c r="B171" t="inlineStr">
        <is>
          <t>Jeremy Firth</t>
        </is>
      </c>
      <c r="C171">
        <f>HYPERLINK("http://www.linkedin.com/in/jeremy-firth")</f>
        <v/>
      </c>
      <c r="D171" t="inlineStr">
        <is>
          <t>jfirth@vailwilliams.com</t>
        </is>
      </c>
      <c r="E171" t="inlineStr">
        <is>
          <t>Partner</t>
        </is>
      </c>
      <c r="F171">
        <f>HYPERLINK("https://app.apollo.io/#/contacts/6577f42c37a15e022d340c49")</f>
        <v/>
      </c>
      <c r="G171" t="inlineStr">
        <is>
          <t>Vail Williams</t>
        </is>
      </c>
      <c r="H171">
        <f>HYPERLINK("https://app.apollo.io/#/accounts/6577f2d837a15e011434a82f")</f>
        <v/>
      </c>
      <c r="I171">
        <f>HYPERLINK("http://www.vailwilliams.com/")</f>
        <v/>
      </c>
      <c r="J171">
        <f>HYPERLINK("http://www.linkedin.com/company/vail-williams")</f>
        <v/>
      </c>
      <c r="K171">
        <f>HYPERLINK("https://twitter.com/vailwilliams")</f>
        <v/>
      </c>
      <c r="L171">
        <f>HYPERLINK("https://www.facebook.com/vailwilliams")</f>
        <v/>
      </c>
      <c r="M171" t="inlineStr">
        <is>
          <t>Reading, United Kingdom</t>
        </is>
      </c>
      <c r="N171" t="inlineStr">
        <is>
          <t>200</t>
        </is>
      </c>
      <c r="O171" t="inlineStr">
        <is>
          <t>Commercial Real Estate</t>
        </is>
      </c>
      <c r="P171" t="inlineStr">
        <is>
          <t>real estate,real estate,real estate agents,real estate agents</t>
        </is>
      </c>
    </row>
    <row r="172">
      <c r="A172" t="inlineStr">
        <is>
          <t>6577f3ca37a15e011434ad50</t>
        </is>
      </c>
      <c r="B172" t="inlineStr">
        <is>
          <t>Robert Dales</t>
        </is>
      </c>
      <c r="C172">
        <f>HYPERLINK("http://www.linkedin.com/in/rob-dales-62a5bb17")</f>
        <v/>
      </c>
      <c r="D172" t="inlineStr">
        <is>
          <t>rdales@klmretail.com</t>
        </is>
      </c>
      <c r="E172" t="inlineStr">
        <is>
          <t>Partner</t>
        </is>
      </c>
      <c r="F172">
        <f>HYPERLINK("https://app.apollo.io/#/contacts/6577f3ca37a15e011434ad50")</f>
        <v/>
      </c>
      <c r="G172" t="inlineStr">
        <is>
          <t>KLM Real Estate</t>
        </is>
      </c>
      <c r="H172">
        <f>HYPERLINK("https://app.apollo.io/#/accounts/6577f3c437a15e01983444a0")</f>
        <v/>
      </c>
      <c r="I172">
        <f>HYPERLINK("http://www.klm-re.com/")</f>
        <v/>
      </c>
      <c r="J172">
        <f>HYPERLINK("http://www.linkedin.com/company/klm-realestate")</f>
        <v/>
      </c>
      <c r="K172">
        <f>HYPERLINK("https://twitter.com/klmrealestate")</f>
        <v/>
      </c>
      <c r="L172">
        <f>HYPERLINK("Not Found")</f>
        <v/>
      </c>
      <c r="M172" t="inlineStr">
        <is>
          <t>West End, United Kingdom</t>
        </is>
      </c>
      <c r="N172" t="inlineStr">
        <is>
          <t>25</t>
        </is>
      </c>
      <c r="O172" t="inlineStr">
        <is>
          <t>Commercial Real Estate</t>
        </is>
      </c>
      <c r="P172" t="inlineStr">
        <is>
          <t>agency,agency,investment,investment</t>
        </is>
      </c>
    </row>
    <row r="173">
      <c r="A173" t="inlineStr">
        <is>
          <t>6577fe3b037fac01144572fc</t>
        </is>
      </c>
      <c r="B173" t="inlineStr">
        <is>
          <t>Atul Thanawala</t>
        </is>
      </c>
      <c r="C173">
        <f>HYPERLINK("http://www.linkedin.com/in/atul-thanawala-3965b550")</f>
        <v/>
      </c>
      <c r="D173" t="inlineStr">
        <is>
          <t>atul@atkinsandpartners.co.uk</t>
        </is>
      </c>
      <c r="E173" t="inlineStr">
        <is>
          <t>Partner</t>
        </is>
      </c>
      <c r="F173">
        <f>HYPERLINK("https://app.apollo.io/#/contacts/6577fe3b037fac01144572fc")</f>
        <v/>
      </c>
      <c r="G173" t="inlineStr">
        <is>
          <t>Atkins Companies</t>
        </is>
      </c>
      <c r="H173">
        <f>HYPERLINK("https://app.apollo.io/#/accounts/6577fe3b037fac01144572fe")</f>
        <v/>
      </c>
      <c r="I173">
        <f>HYPERLINK("http://www.atkinscompanies.com/")</f>
        <v/>
      </c>
      <c r="J173">
        <f>HYPERLINK("http://www.linkedin.com/company/atkins-companies")</f>
        <v/>
      </c>
      <c r="K173">
        <f>HYPERLINK("Not Found")</f>
        <v/>
      </c>
      <c r="L173">
        <f>HYPERLINK("Not Found")</f>
        <v/>
      </c>
      <c r="M173" t="inlineStr">
        <is>
          <t>London, United Kingdom</t>
        </is>
      </c>
      <c r="N173" t="inlineStr">
        <is>
          <t>9</t>
        </is>
      </c>
      <c r="O173" t="inlineStr">
        <is>
          <t>Commercial Real Estate</t>
        </is>
      </c>
      <c r="P173" t="inlineStr">
        <is>
          <t>commercial real estate,commercial real estate</t>
        </is>
      </c>
    </row>
    <row r="174">
      <c r="A174" t="inlineStr">
        <is>
          <t>657802b742fe9f01803f8d50</t>
        </is>
      </c>
      <c r="B174" t="inlineStr">
        <is>
          <t>James Mordecai</t>
        </is>
      </c>
      <c r="C174">
        <f>HYPERLINK("http://www.linkedin.com/in/james-mordecai-b8516b1b")</f>
        <v/>
      </c>
      <c r="D174" t="inlineStr">
        <is>
          <t>jamesmordecai@hrt.uk.com</t>
        </is>
      </c>
      <c r="E174" t="inlineStr">
        <is>
          <t>Partner</t>
        </is>
      </c>
      <c r="F174">
        <f>HYPERLINK("https://app.apollo.io/#/contacts/657802b742fe9f01803f8d50")</f>
        <v/>
      </c>
      <c r="G174" t="inlineStr">
        <is>
          <t>Herbert R Thomas</t>
        </is>
      </c>
      <c r="H174">
        <f>HYPERLINK("https://app.apollo.io/#/accounts/657802b742fe9f01803f8d52")</f>
        <v/>
      </c>
      <c r="I174">
        <f>HYPERLINK("http://www.hrt.uk.com/")</f>
        <v/>
      </c>
      <c r="J174">
        <f>HYPERLINK("http://www.linkedin.com/company/herbert-r-thomas")</f>
        <v/>
      </c>
      <c r="K174">
        <f>HYPERLINK("https://twitter.com/HerbertRThomas")</f>
        <v/>
      </c>
      <c r="L174">
        <f>HYPERLINK("https://www.facebook.com/Herbert-R-Thomas-247651058594338/")</f>
        <v/>
      </c>
      <c r="M174" t="inlineStr">
        <is>
          <t>Cardiff, United Kingdom</t>
        </is>
      </c>
      <c r="N174" t="inlineStr">
        <is>
          <t>34</t>
        </is>
      </c>
      <c r="O174" t="inlineStr">
        <is>
          <t>Commercial Real Estate</t>
        </is>
      </c>
      <c r="P174" t="inlineStr">
        <is>
          <t>surveying,surveying,valuers,valuers,estate agents,estate agents</t>
        </is>
      </c>
    </row>
    <row r="175">
      <c r="A175" t="inlineStr">
        <is>
          <t>6577f3d737a15e01983444d0</t>
        </is>
      </c>
      <c r="B175" t="inlineStr">
        <is>
          <t>Ian Kitchen</t>
        </is>
      </c>
      <c r="C175">
        <f>HYPERLINK("http://www.linkedin.com/in/ikitchen")</f>
        <v/>
      </c>
      <c r="D175" t="inlineStr">
        <is>
          <t>ikitchen@klmretail.com</t>
        </is>
      </c>
      <c r="E175" t="inlineStr">
        <is>
          <t>Partner</t>
        </is>
      </c>
      <c r="F175">
        <f>HYPERLINK("https://app.apollo.io/#/contacts/6577f3d737a15e01983444d0")</f>
        <v/>
      </c>
      <c r="G175" t="inlineStr">
        <is>
          <t>KLM Real Estate</t>
        </is>
      </c>
      <c r="H175">
        <f>HYPERLINK("https://app.apollo.io/#/accounts/6577f3c437a15e01983444a0")</f>
        <v/>
      </c>
      <c r="I175">
        <f>HYPERLINK("http://www.klm-re.com/")</f>
        <v/>
      </c>
      <c r="J175">
        <f>HYPERLINK("http://www.linkedin.com/company/klm-realestate")</f>
        <v/>
      </c>
      <c r="K175">
        <f>HYPERLINK("https://twitter.com/klmrealestate")</f>
        <v/>
      </c>
      <c r="L175">
        <f>HYPERLINK("Not Found")</f>
        <v/>
      </c>
      <c r="M175" t="inlineStr">
        <is>
          <t>West End, United Kingdom</t>
        </is>
      </c>
      <c r="N175" t="inlineStr">
        <is>
          <t>25</t>
        </is>
      </c>
      <c r="O175" t="inlineStr">
        <is>
          <t>Commercial Real Estate</t>
        </is>
      </c>
      <c r="P175" t="inlineStr">
        <is>
          <t>agency,agency,investment,investment</t>
        </is>
      </c>
    </row>
    <row r="176">
      <c r="A176" t="inlineStr">
        <is>
          <t>6577f40737a15e011434af25</t>
        </is>
      </c>
      <c r="B176" t="inlineStr">
        <is>
          <t>Andrew Hardwick</t>
        </is>
      </c>
      <c r="C176">
        <f>HYPERLINK("http://www.linkedin.com/in/andrew-hardwick-b481bba")</f>
        <v/>
      </c>
      <c r="D176" t="inlineStr">
        <is>
          <t>andrew.hardwick@carterjonas.co.uk</t>
        </is>
      </c>
      <c r="E176" t="inlineStr">
        <is>
          <t>Partner</t>
        </is>
      </c>
      <c r="F176">
        <f>HYPERLINK("https://app.apollo.io/#/contacts/6577f40737a15e011434af25")</f>
        <v/>
      </c>
      <c r="G176" t="inlineStr">
        <is>
          <t>Carter Jonas LLP</t>
        </is>
      </c>
      <c r="H176">
        <f>HYPERLINK("https://app.apollo.io/#/accounts/6577f40737a15e011434af26")</f>
        <v/>
      </c>
      <c r="I176">
        <f>HYPERLINK("http://www.carterjonas.co.uk/")</f>
        <v/>
      </c>
      <c r="J176">
        <f>HYPERLINK("http://www.linkedin.com/company/williams-gunter-hardwick")</f>
        <v/>
      </c>
      <c r="K176">
        <f>HYPERLINK("Not Found")</f>
        <v/>
      </c>
      <c r="L176">
        <f>HYPERLINK("Not Found")</f>
        <v/>
      </c>
      <c r="M176" t="inlineStr">
        <is>
          <t>Bristol, United Kingdom</t>
        </is>
      </c>
      <c r="N176" t="inlineStr">
        <is>
          <t>5</t>
        </is>
      </c>
      <c r="O176" t="inlineStr">
        <is>
          <t>Commercial Real Estate</t>
        </is>
      </c>
      <c r="P176" t="inlineStr">
        <is>
          <t>retail agency,retail agency,industrial agency,industrial agency</t>
        </is>
      </c>
    </row>
    <row r="177">
      <c r="A177" t="inlineStr">
        <is>
          <t>6577f4c037a15e02e633e8fc</t>
        </is>
      </c>
      <c r="B177" t="inlineStr">
        <is>
          <t>Simon Higgins</t>
        </is>
      </c>
      <c r="C177">
        <f>HYPERLINK("http://www.linkedin.com/in/simon-higgins-34139713")</f>
        <v/>
      </c>
      <c r="D177" t="inlineStr">
        <is>
          <t>simon.higgins@levyrealestate.co.uk</t>
        </is>
      </c>
      <c r="E177" t="inlineStr">
        <is>
          <t>Partner</t>
        </is>
      </c>
      <c r="F177">
        <f>HYPERLINK("https://app.apollo.io/#/contacts/6577f4c037a15e02e633e8fc")</f>
        <v/>
      </c>
      <c r="G177" t="inlineStr">
        <is>
          <t>Levy Real Estate</t>
        </is>
      </c>
      <c r="H177">
        <f>HYPERLINK("https://app.apollo.io/#/accounts/6577f46e37a15e011434b20c")</f>
        <v/>
      </c>
      <c r="I177">
        <f>HYPERLINK("http://www.levyrealestate.co.uk/")</f>
        <v/>
      </c>
      <c r="J177">
        <f>HYPERLINK("http://www.linkedin.com/company/levyrealestate")</f>
        <v/>
      </c>
      <c r="K177">
        <f>HYPERLINK("Not Found")</f>
        <v/>
      </c>
      <c r="L177">
        <f>HYPERLINK("Not Found")</f>
        <v/>
      </c>
      <c r="M177" t="inlineStr">
        <is>
          <t>London, United Kingdom</t>
        </is>
      </c>
      <c r="N177" t="inlineStr">
        <is>
          <t>50</t>
        </is>
      </c>
      <c r="O177" t="inlineStr">
        <is>
          <t>Commercial Real Estate</t>
        </is>
      </c>
    </row>
    <row r="178">
      <c r="A178" t="inlineStr">
        <is>
          <t>6577fdd6037fac0114456fd3</t>
        </is>
      </c>
      <c r="B178" t="inlineStr">
        <is>
          <t>Rory Turner</t>
        </is>
      </c>
      <c r="C178">
        <f>HYPERLINK("http://www.linkedin.com/in/rory-turner-091b0439")</f>
        <v/>
      </c>
      <c r="D178" t="inlineStr">
        <is>
          <t>rory.turner@kimmre.com</t>
        </is>
      </c>
      <c r="E178" t="inlineStr">
        <is>
          <t>Partner</t>
        </is>
      </c>
      <c r="F178">
        <f>HYPERLINK("https://app.apollo.io/#/contacts/6577fdd6037fac0114456fd3")</f>
        <v/>
      </c>
      <c r="G178" t="inlineStr">
        <is>
          <t>Kimmre</t>
        </is>
      </c>
      <c r="H178">
        <f>HYPERLINK("https://app.apollo.io/#/accounts/6577f42037a15e022d340bf9")</f>
        <v/>
      </c>
      <c r="I178">
        <f>HYPERLINK("http://www.kimmre.com/")</f>
        <v/>
      </c>
      <c r="J178">
        <f>HYPERLINK("http://www.linkedin.com/company/kimmre")</f>
        <v/>
      </c>
      <c r="K178">
        <f>HYPERLINK("Not Found")</f>
        <v/>
      </c>
      <c r="L178">
        <f>HYPERLINK("Not Found")</f>
        <v/>
      </c>
      <c r="M178" t="inlineStr">
        <is>
          <t>London, United Kingdom</t>
        </is>
      </c>
      <c r="N178" t="inlineStr">
        <is>
          <t>18</t>
        </is>
      </c>
      <c r="O178" t="inlineStr">
        <is>
          <t>Commercial Real Estate</t>
        </is>
      </c>
      <c r="P178" t="inlineStr">
        <is>
          <t>commercial real estate,commercial real estate</t>
        </is>
      </c>
    </row>
    <row r="179">
      <c r="A179" t="inlineStr">
        <is>
          <t>6577fdb0037fac019c455acf</t>
        </is>
      </c>
      <c r="B179" t="inlineStr">
        <is>
          <t>Joe Assalone</t>
        </is>
      </c>
      <c r="C179">
        <f>HYPERLINK("http://www.linkedin.com/in/joe-assalone-a7825215")</f>
        <v/>
      </c>
      <c r="D179" t="inlineStr">
        <is>
          <t>joe@pinkus.co.uk</t>
        </is>
      </c>
      <c r="E179" t="inlineStr">
        <is>
          <t>Partner</t>
        </is>
      </c>
      <c r="F179">
        <f>HYPERLINK("https://app.apollo.io/#/contacts/6577fdb0037fac019c455acf")</f>
        <v/>
      </c>
      <c r="G179" t="inlineStr">
        <is>
          <t>Robert Pinkus &amp; Co</t>
        </is>
      </c>
      <c r="H179">
        <f>HYPERLINK("https://app.apollo.io/#/accounts/6577f44937a15e019834485d")</f>
        <v/>
      </c>
      <c r="I179">
        <f>HYPERLINK("http://www.pinkus.co.uk/")</f>
        <v/>
      </c>
      <c r="J179">
        <f>HYPERLINK("http://www.linkedin.com/company/robert-pinkus-management-services-ltd")</f>
        <v/>
      </c>
      <c r="K179">
        <f>HYPERLINK("https://twitter.com/robertpinkus")</f>
        <v/>
      </c>
      <c r="L179">
        <f>HYPERLINK("https://www.facebook.com/robert.pinkus.37")</f>
        <v/>
      </c>
      <c r="M179" t="inlineStr">
        <is>
          <t>Preston, United Kingdom</t>
        </is>
      </c>
      <c r="N179" t="inlineStr">
        <is>
          <t>4</t>
        </is>
      </c>
      <c r="O179" t="inlineStr">
        <is>
          <t>Commercial Real Estate</t>
        </is>
      </c>
    </row>
    <row r="180">
      <c r="A180" t="inlineStr">
        <is>
          <t>6577fdc5037fac0114456f63</t>
        </is>
      </c>
      <c r="B180" t="inlineStr">
        <is>
          <t>Roderick Mackay</t>
        </is>
      </c>
      <c r="C180">
        <f>HYPERLINK("http://www.linkedin.com/in/roderick-mackay-10701226")</f>
        <v/>
      </c>
      <c r="D180" t="inlineStr">
        <is>
          <t>roderick.mackay@acrellp.com</t>
        </is>
      </c>
      <c r="E180" t="inlineStr">
        <is>
          <t>Partner</t>
        </is>
      </c>
      <c r="F180">
        <f>HYPERLINK("https://app.apollo.io/#/contacts/6577fdc5037fac0114456f63")</f>
        <v/>
      </c>
      <c r="G180" t="inlineStr">
        <is>
          <t>ACRE Capital Real Estate LLP</t>
        </is>
      </c>
      <c r="H180">
        <f>HYPERLINK("https://app.apollo.io/#/accounts/6577f48137a15e02e633e8a9")</f>
        <v/>
      </c>
      <c r="I180">
        <f>HYPERLINK("http://www.acrellp.com/")</f>
        <v/>
      </c>
      <c r="J180">
        <f>HYPERLINK("http://www.linkedin.com/company/acre-capital-real-estate-llp")</f>
        <v/>
      </c>
      <c r="K180">
        <f>HYPERLINK("Not Found")</f>
        <v/>
      </c>
      <c r="L180">
        <f>HYPERLINK("Not Found")</f>
        <v/>
      </c>
      <c r="M180" t="inlineStr">
        <is>
          <t>London, United Kingdom</t>
        </is>
      </c>
      <c r="N180" t="inlineStr">
        <is>
          <t>20</t>
        </is>
      </c>
      <c r="O180" t="inlineStr">
        <is>
          <t>Commercial Real Estate</t>
        </is>
      </c>
      <c r="P180" t="inlineStr">
        <is>
          <t>commercial real estate,commercial real estate</t>
        </is>
      </c>
    </row>
    <row r="181">
      <c r="A181" t="inlineStr">
        <is>
          <t>6577f48837a15e011434b28c</t>
        </is>
      </c>
      <c r="B181" t="inlineStr">
        <is>
          <t>Paul Raitt</t>
        </is>
      </c>
      <c r="C181">
        <f>HYPERLINK("http://www.linkedin.com/in/paul-raitt-46a8a128")</f>
        <v/>
      </c>
      <c r="D181" t="inlineStr">
        <is>
          <t>paul.raitt@brasierfreeth.com</t>
        </is>
      </c>
      <c r="E181" t="inlineStr">
        <is>
          <t>Partner</t>
        </is>
      </c>
      <c r="F181">
        <f>HYPERLINK("https://app.apollo.io/#/contacts/6577f48837a15e011434b28c")</f>
        <v/>
      </c>
      <c r="G181" t="inlineStr">
        <is>
          <t>Brasier Freeth</t>
        </is>
      </c>
      <c r="H181">
        <f>HYPERLINK("https://app.apollo.io/#/accounts/6577f46837a15e0198344918")</f>
        <v/>
      </c>
      <c r="I181">
        <f>HYPERLINK("http://www.brasierfreeth.com/")</f>
        <v/>
      </c>
      <c r="J181">
        <f>HYPERLINK("http://www.linkedin.com/company/brasier-freeth-llp")</f>
        <v/>
      </c>
      <c r="K181">
        <f>HYPERLINK("https://twitter.com/brasierfreeth")</f>
        <v/>
      </c>
      <c r="L181">
        <f>HYPERLINK("Not Found")</f>
        <v/>
      </c>
      <c r="M181" t="inlineStr">
        <is>
          <t>Welwyn Garden City, United Kingdom</t>
        </is>
      </c>
      <c r="N181" t="inlineStr">
        <is>
          <t>37</t>
        </is>
      </c>
      <c r="O181" t="inlineStr">
        <is>
          <t>Commercial Real Estate</t>
        </is>
      </c>
      <c r="P181" t="inlineStr">
        <is>
          <t>commercial property acquisitions,commercial property acquisitions</t>
        </is>
      </c>
    </row>
    <row r="182">
      <c r="A182" t="inlineStr">
        <is>
          <t>6577f46837a15e0198344916</t>
        </is>
      </c>
      <c r="B182" t="inlineStr">
        <is>
          <t>Anthony Appleby</t>
        </is>
      </c>
      <c r="C182">
        <f>HYPERLINK("http://www.linkedin.com/in/anthony-appleby-28718246")</f>
        <v/>
      </c>
      <c r="D182" t="inlineStr">
        <is>
          <t>anthony.appleby@brasierfreeth.com</t>
        </is>
      </c>
      <c r="E182" t="inlineStr">
        <is>
          <t>Partner</t>
        </is>
      </c>
      <c r="F182">
        <f>HYPERLINK("https://app.apollo.io/#/contacts/6577f46837a15e0198344916")</f>
        <v/>
      </c>
      <c r="G182" t="inlineStr">
        <is>
          <t>Brasier Freeth</t>
        </is>
      </c>
      <c r="H182">
        <f>HYPERLINK("https://app.apollo.io/#/accounts/6577f46837a15e0198344918")</f>
        <v/>
      </c>
      <c r="I182">
        <f>HYPERLINK("http://www.brasierfreeth.com/")</f>
        <v/>
      </c>
      <c r="J182">
        <f>HYPERLINK("http://www.linkedin.com/company/brasier-freeth-llp")</f>
        <v/>
      </c>
      <c r="K182">
        <f>HYPERLINK("https://twitter.com/brasierfreeth")</f>
        <v/>
      </c>
      <c r="L182">
        <f>HYPERLINK("Not Found")</f>
        <v/>
      </c>
      <c r="M182" t="inlineStr">
        <is>
          <t>West End, United Kingdom</t>
        </is>
      </c>
      <c r="N182" t="inlineStr">
        <is>
          <t>37</t>
        </is>
      </c>
      <c r="O182" t="inlineStr">
        <is>
          <t>Commercial Real Estate</t>
        </is>
      </c>
      <c r="P182" t="inlineStr">
        <is>
          <t>commercial property acquisitions,commercial property acquisitions</t>
        </is>
      </c>
    </row>
    <row r="183">
      <c r="A183" t="inlineStr">
        <is>
          <t>5ac9cee3a6da9840ce21a9b8</t>
        </is>
      </c>
      <c r="B183" t="inlineStr">
        <is>
          <t>Thomas Smith</t>
        </is>
      </c>
      <c r="C183">
        <f>HYPERLINK("http://www.linkedin.com/in/thomas-smith-26418015")</f>
        <v/>
      </c>
      <c r="D183" t="inlineStr">
        <is>
          <t>ts@miller-commercial.co.uk</t>
        </is>
      </c>
      <c r="E183" t="inlineStr">
        <is>
          <t>Equity Partner</t>
        </is>
      </c>
      <c r="F183">
        <f>HYPERLINK("https://app.apollo.io/#/people/5ac9cee3a6da9840ce21a9b8")</f>
        <v/>
      </c>
      <c r="G183" t="inlineStr">
        <is>
          <t>Miller Commercial - Chartered Surveyors and Business Property Specialists</t>
        </is>
      </c>
      <c r="H183">
        <f>HYPERLINK("https://app.apollo.io/#/accounts/6577fe94037fac036b453e18")</f>
        <v/>
      </c>
      <c r="I183">
        <f>HYPERLINK("http://www.miller-commercial.co.uk/")</f>
        <v/>
      </c>
      <c r="J183">
        <f>HYPERLINK("http://www.linkedin.com/company/miller-commercial")</f>
        <v/>
      </c>
      <c r="K183">
        <f>HYPERLINK("https://twitter.com/MillerComProp")</f>
        <v/>
      </c>
      <c r="L183">
        <f>HYPERLINK("Not Found")</f>
        <v/>
      </c>
      <c r="M183" t="inlineStr">
        <is>
          <t>Truro, United Kingdom</t>
        </is>
      </c>
      <c r="N183" t="inlineStr">
        <is>
          <t>23</t>
        </is>
      </c>
      <c r="O183" t="inlineStr">
        <is>
          <t>Commercial Real Estate</t>
        </is>
      </c>
      <c r="P183" t="inlineStr">
        <is>
          <t>investment &amp; development,investment &amp; development</t>
        </is>
      </c>
    </row>
    <row r="184">
      <c r="A184" t="inlineStr">
        <is>
          <t>54a3dfec7468693209382f1a</t>
        </is>
      </c>
      <c r="B184" t="inlineStr">
        <is>
          <t>Nasira Majid</t>
        </is>
      </c>
      <c r="C184">
        <f>HYPERLINK("http://www.linkedin.com/in/nasira-majid-5551361b")</f>
        <v/>
      </c>
      <c r="D184" t="inlineStr">
        <is>
          <t>nasira@pinproperty.co.uk</t>
        </is>
      </c>
      <c r="E184" t="inlineStr">
        <is>
          <t>Managing Director</t>
        </is>
      </c>
      <c r="F184">
        <f>HYPERLINK("https://app.apollo.io/#/people/54a3dfec7468693209382f1a")</f>
        <v/>
      </c>
      <c r="G184" t="inlineStr">
        <is>
          <t>Pin Property</t>
        </is>
      </c>
      <c r="H184">
        <f>HYPERLINK("https://app.apollo.io/#/accounts/65780409a2ca02020359b923")</f>
        <v/>
      </c>
      <c r="I184">
        <f>HYPERLINK("http://www.pinproperty.co.uk/")</f>
        <v/>
      </c>
      <c r="J184">
        <f>HYPERLINK("http://www.linkedin.com/company/pin-property")</f>
        <v/>
      </c>
      <c r="K184">
        <f>HYPERLINK("Not Found")</f>
        <v/>
      </c>
      <c r="L184">
        <f>HYPERLINK("Not Found")</f>
        <v/>
      </c>
      <c r="M184" t="inlineStr">
        <is>
          <t>Manchester, United Kingdom</t>
        </is>
      </c>
      <c r="N184" t="inlineStr">
        <is>
          <t>50</t>
        </is>
      </c>
      <c r="O184" t="inlineStr">
        <is>
          <t>Commercial Real Estate</t>
        </is>
      </c>
      <c r="P184" t="inlineStr">
        <is>
          <t>commercial management,commercial management</t>
        </is>
      </c>
    </row>
    <row r="185">
      <c r="A185" t="inlineStr">
        <is>
          <t>6577f33237a15e019834430e</t>
        </is>
      </c>
      <c r="B185" t="inlineStr">
        <is>
          <t>Jenny Picking</t>
        </is>
      </c>
      <c r="C185">
        <f>HYPERLINK("http://www.linkedin.com/in/jenny-picking-8a8a3622")</f>
        <v/>
      </c>
      <c r="D185" t="inlineStr">
        <is>
          <t>jenny.picking@okt.co.uk</t>
        </is>
      </c>
      <c r="E185" t="inlineStr">
        <is>
          <t>Head of Marketing and Media</t>
        </is>
      </c>
      <c r="F185">
        <f>HYPERLINK("https://app.apollo.io/#/contacts/6577f33237a15e019834430e")</f>
        <v/>
      </c>
      <c r="G185" t="inlineStr">
        <is>
          <t>OKT (O'Connor Kennedy Turtle)</t>
        </is>
      </c>
      <c r="H185">
        <f>HYPERLINK("https://app.apollo.io/#/accounts/6577f33237a15e0198344310")</f>
        <v/>
      </c>
      <c r="I185">
        <f>HYPERLINK("http://www.okt.co.uk/")</f>
        <v/>
      </c>
      <c r="J185">
        <f>HYPERLINK("http://www.linkedin.com/company/okt-o'connor-kennedy-turtle-")</f>
        <v/>
      </c>
      <c r="K185">
        <f>HYPERLINK("https://www.twitter.com/OKTBelfast")</f>
        <v/>
      </c>
      <c r="L185">
        <f>HYPERLINK("https://facebook.com/pages/OKT-OConnor-Kennedy-Turtle/1417342818482903")</f>
        <v/>
      </c>
      <c r="M185" t="inlineStr">
        <is>
          <t>Belfast, United Kingdom</t>
        </is>
      </c>
      <c r="N185" t="inlineStr">
        <is>
          <t>8</t>
        </is>
      </c>
      <c r="O185" t="inlineStr">
        <is>
          <t>Commercial Real Estate</t>
        </is>
      </c>
      <c r="P185" t="inlineStr">
        <is>
          <t>commercial property,commercial property</t>
        </is>
      </c>
    </row>
    <row r="186">
      <c r="A186" t="inlineStr">
        <is>
          <t>6577fd8e037fac019c455a5b</t>
        </is>
      </c>
      <c r="B186" t="inlineStr">
        <is>
          <t>David Goldie</t>
        </is>
      </c>
      <c r="C186">
        <f>HYPERLINK("http://www.linkedin.com/in/davidgoldieonlinemarketer")</f>
        <v/>
      </c>
      <c r="D186" t="inlineStr">
        <is>
          <t>dgoldie@lrg.co.uk</t>
        </is>
      </c>
      <c r="E186" t="inlineStr">
        <is>
          <t>Head Of Digital Marketing</t>
        </is>
      </c>
      <c r="F186">
        <f>HYPERLINK("https://app.apollo.io/#/contacts/6577fd8e037fac019c455a5b")</f>
        <v/>
      </c>
      <c r="G186" t="inlineStr">
        <is>
          <t>Leaders Romans Group</t>
        </is>
      </c>
      <c r="H186">
        <f>HYPERLINK("https://app.apollo.io/#/accounts/6577bc57a3b9550198ec6839")</f>
        <v/>
      </c>
      <c r="I186">
        <f>HYPERLINK("http://www.lrg.co.uk/")</f>
        <v/>
      </c>
      <c r="J186">
        <f>HYPERLINK("http://www.linkedin.com/company/leaders-romans-group")</f>
        <v/>
      </c>
      <c r="K186">
        <f>HYPERLINK("Not Found")</f>
        <v/>
      </c>
      <c r="L186">
        <f>HYPERLINK("Not Found")</f>
        <v/>
      </c>
      <c r="M186" t="inlineStr">
        <is>
          <t>Fauldhouse, United Kingdom</t>
        </is>
      </c>
      <c r="N186" t="inlineStr">
        <is>
          <t>2,600</t>
        </is>
      </c>
      <c r="O186" t="inlineStr">
        <is>
          <t>Commercial Real Estate</t>
        </is>
      </c>
      <c r="P186" t="inlineStr">
        <is>
          <t>estate agency,estate agency,lettings,lettings</t>
        </is>
      </c>
    </row>
    <row r="187">
      <c r="A187" t="inlineStr">
        <is>
          <t>6577fdf4037fac01144570b6</t>
        </is>
      </c>
      <c r="B187" t="inlineStr">
        <is>
          <t>Niall Christian</t>
        </is>
      </c>
      <c r="C187">
        <f>HYPERLINK("http://www.linkedin.com/in/niall-christian-7a916612")</f>
        <v/>
      </c>
      <c r="D187" t="inlineStr">
        <is>
          <t>niall.christian@michaelrogers.co.uk</t>
        </is>
      </c>
      <c r="E187" t="inlineStr">
        <is>
          <t>Partner</t>
        </is>
      </c>
      <c r="F187">
        <f>HYPERLINK("https://app.apollo.io/#/contacts/6577fdf4037fac01144570b6")</f>
        <v/>
      </c>
      <c r="G187" t="inlineStr">
        <is>
          <t>Michael Rogers LLP</t>
        </is>
      </c>
      <c r="H187">
        <f>HYPERLINK("https://app.apollo.io/#/accounts/6577fdf4037fac01144570b8")</f>
        <v/>
      </c>
      <c r="I187">
        <f>HYPERLINK("http://www.michaelrogers.co.uk/")</f>
        <v/>
      </c>
      <c r="J187">
        <f>HYPERLINK("http://www.linkedin.com/company/michael-rogers-llp")</f>
        <v/>
      </c>
      <c r="K187">
        <f>HYPERLINK("Not Found")</f>
        <v/>
      </c>
      <c r="L187">
        <f>HYPERLINK("https://facebook.com/pages/Michael-Rogers-LLP/212368852189933")</f>
        <v/>
      </c>
      <c r="M187" t="inlineStr">
        <is>
          <t>London, United Kingdom</t>
        </is>
      </c>
      <c r="N187" t="inlineStr">
        <is>
          <t>10</t>
        </is>
      </c>
      <c r="O187" t="inlineStr">
        <is>
          <t>Commercial Real Estate</t>
        </is>
      </c>
      <c r="P187" t="inlineStr">
        <is>
          <t>commercial real estate,commercial real estate</t>
        </is>
      </c>
    </row>
    <row r="188">
      <c r="A188" t="inlineStr">
        <is>
          <t>657802bb42fe9f00fc3fbb63</t>
        </is>
      </c>
      <c r="B188" t="inlineStr">
        <is>
          <t>Paul Tomlinson</t>
        </is>
      </c>
      <c r="C188">
        <f>HYPERLINK("http://www.linkedin.com/in/paul-tomlinson-9598a038")</f>
        <v/>
      </c>
      <c r="D188" t="inlineStr">
        <is>
          <t>ptomlinson@vailwilliams.com</t>
        </is>
      </c>
      <c r="E188" t="inlineStr">
        <is>
          <t>Partner</t>
        </is>
      </c>
      <c r="F188">
        <f>HYPERLINK("https://app.apollo.io/#/contacts/657802bb42fe9f00fc3fbb63")</f>
        <v/>
      </c>
      <c r="G188" t="inlineStr">
        <is>
          <t>Vail Williams</t>
        </is>
      </c>
      <c r="H188">
        <f>HYPERLINK("https://app.apollo.io/#/accounts/6577f2d837a15e011434a82f")</f>
        <v/>
      </c>
      <c r="I188">
        <f>HYPERLINK("http://www.vailwilliams.com/")</f>
        <v/>
      </c>
      <c r="J188">
        <f>HYPERLINK("http://www.linkedin.com/company/vail-williams")</f>
        <v/>
      </c>
      <c r="K188">
        <f>HYPERLINK("https://twitter.com/vailwilliams")</f>
        <v/>
      </c>
      <c r="L188">
        <f>HYPERLINK("https://www.facebook.com/vailwilliams")</f>
        <v/>
      </c>
      <c r="M188" t="inlineStr">
        <is>
          <t>United Kingdom</t>
        </is>
      </c>
      <c r="N188" t="inlineStr">
        <is>
          <t>200</t>
        </is>
      </c>
      <c r="O188" t="inlineStr">
        <is>
          <t>Commercial Real Estate</t>
        </is>
      </c>
      <c r="P188" t="inlineStr">
        <is>
          <t>real estate,real estate,real estate agents,real estate agents</t>
        </is>
      </c>
    </row>
    <row r="189">
      <c r="A189" t="inlineStr">
        <is>
          <t>6577f3f837a15e0198344568</t>
        </is>
      </c>
      <c r="B189" t="inlineStr">
        <is>
          <t>Roger Holmes</t>
        </is>
      </c>
      <c r="C189">
        <f>HYPERLINK("http://www.linkedin.com/in/roger-holmes-mrics")</f>
        <v/>
      </c>
      <c r="D189" t="inlineStr">
        <is>
          <t>roger@xix.co.uk</t>
        </is>
      </c>
      <c r="E189" t="inlineStr">
        <is>
          <t>Partner</t>
        </is>
      </c>
      <c r="F189">
        <f>HYPERLINK("https://app.apollo.io/#/contacts/6577f3f837a15e0198344568")</f>
        <v/>
      </c>
      <c r="G189" t="inlineStr">
        <is>
          <t>XIX</t>
        </is>
      </c>
      <c r="H189">
        <f>HYPERLINK("https://app.apollo.io/#/accounts/6577f3f837a15e019834456a")</f>
        <v/>
      </c>
      <c r="I189">
        <f>HYPERLINK("http://www.xix.co.uk/")</f>
        <v/>
      </c>
      <c r="J189">
        <f>HYPERLINK("http://www.linkedin.com/company/xixlondon")</f>
        <v/>
      </c>
      <c r="K189">
        <f>HYPERLINK("https://twitter.com/xixlondon")</f>
        <v/>
      </c>
      <c r="L189">
        <f>HYPERLINK("Not Found")</f>
        <v/>
      </c>
      <c r="M189" t="inlineStr">
        <is>
          <t>London, United Kingdom</t>
        </is>
      </c>
      <c r="N189" t="inlineStr">
        <is>
          <t>7</t>
        </is>
      </c>
      <c r="O189" t="inlineStr">
        <is>
          <t>Commercial Real Estate</t>
        </is>
      </c>
      <c r="P189" t="inlineStr">
        <is>
          <t>office search,office search,commercial office agent,commercial office agent</t>
        </is>
      </c>
    </row>
    <row r="190">
      <c r="A190" t="inlineStr">
        <is>
          <t>6577fe0c037fac0114457185</t>
        </is>
      </c>
      <c r="B190" t="inlineStr">
        <is>
          <t>Matthew Duncombe</t>
        </is>
      </c>
      <c r="C190">
        <f>HYPERLINK("http://www.linkedin.com/in/matthew-duncombe-b3a15b10")</f>
        <v/>
      </c>
      <c r="D190" t="inlineStr">
        <is>
          <t>matthew.duncombe@cushwake.com</t>
        </is>
      </c>
      <c r="E190" t="inlineStr">
        <is>
          <t>Partner</t>
        </is>
      </c>
      <c r="F190">
        <f>HYPERLINK("https://app.apollo.io/#/contacts/6577fe0c037fac0114457185")</f>
        <v/>
      </c>
      <c r="G190" t="inlineStr">
        <is>
          <t>Cushman &amp; Wakefield - Formerly DTZ</t>
        </is>
      </c>
      <c r="H190">
        <f>HYPERLINK("https://app.apollo.io/#/accounts/6577f3bd37a15e02e633e739")</f>
        <v/>
      </c>
      <c r="I190">
        <f>HYPERLINK("http://www.cushwake.com/")</f>
        <v/>
      </c>
      <c r="J190">
        <f>HYPERLINK("http://www.linkedin.com/company/dtz")</f>
        <v/>
      </c>
      <c r="K190">
        <f>HYPERLINK("Not Found")</f>
        <v/>
      </c>
      <c r="L190">
        <f>HYPERLINK("Not Found")</f>
        <v/>
      </c>
      <c r="M190" t="inlineStr">
        <is>
          <t>London, United Kingdom</t>
        </is>
      </c>
      <c r="N190" t="inlineStr">
        <is>
          <t>3,800</t>
        </is>
      </c>
      <c r="O190" t="inlineStr">
        <is>
          <t>Commercial Real Estate</t>
        </is>
      </c>
      <c r="P190" t="inlineStr">
        <is>
          <t>agency leasing,agency leasing,capital markets,capital markets</t>
        </is>
      </c>
    </row>
    <row r="191">
      <c r="A191" t="inlineStr">
        <is>
          <t>6577f41937a15e0198344673</t>
        </is>
      </c>
      <c r="B191" t="inlineStr">
        <is>
          <t>Craig Simpson</t>
        </is>
      </c>
      <c r="C191">
        <f>HYPERLINK("http://www.linkedin.com/in/craig-simpson-71a16844")</f>
        <v/>
      </c>
      <c r="D191" t="inlineStr">
        <is>
          <t>craig@tavistockbow.com</t>
        </is>
      </c>
      <c r="E191" t="inlineStr">
        <is>
          <t>Partner</t>
        </is>
      </c>
      <c r="F191">
        <f>HYPERLINK("https://app.apollo.io/#/contacts/6577f41937a15e0198344673")</f>
        <v/>
      </c>
      <c r="G191" t="inlineStr">
        <is>
          <t>Tavistock Bow</t>
        </is>
      </c>
      <c r="H191">
        <f>HYPERLINK("https://app.apollo.io/#/accounts/6577f41937a15e0198344675")</f>
        <v/>
      </c>
      <c r="I191">
        <f>HYPERLINK("http://www.tavistockbow.com/")</f>
        <v/>
      </c>
      <c r="J191">
        <f>HYPERLINK("http://www.linkedin.com/company/tavistock-bow")</f>
        <v/>
      </c>
      <c r="K191">
        <f>HYPERLINK("https://twitter.com/tavistockbow")</f>
        <v/>
      </c>
      <c r="L191">
        <f>HYPERLINK("https://www.facebook.com/tavistockbow")</f>
        <v/>
      </c>
      <c r="M191" t="inlineStr">
        <is>
          <t>United Kingdom</t>
        </is>
      </c>
      <c r="N191" t="inlineStr">
        <is>
          <t>9</t>
        </is>
      </c>
      <c r="O191" t="inlineStr">
        <is>
          <t>Commercial Real Estate</t>
        </is>
      </c>
      <c r="P191" t="inlineStr">
        <is>
          <t>commercial real estate,commercial real estate</t>
        </is>
      </c>
    </row>
    <row r="192">
      <c r="A192" t="inlineStr">
        <is>
          <t>6577fde6037fac0114457063</t>
        </is>
      </c>
      <c r="B192" t="inlineStr">
        <is>
          <t>Dominic Brady</t>
        </is>
      </c>
      <c r="C192">
        <f>HYPERLINK("http://www.linkedin.com/in/dominicbrady")</f>
        <v/>
      </c>
      <c r="D192" t="inlineStr">
        <is>
          <t>dbrady@klmretail.com</t>
        </is>
      </c>
      <c r="E192" t="inlineStr">
        <is>
          <t>Partner</t>
        </is>
      </c>
      <c r="F192">
        <f>HYPERLINK("https://app.apollo.io/#/contacts/6577fde6037fac0114457063")</f>
        <v/>
      </c>
      <c r="G192" t="inlineStr">
        <is>
          <t>KLM Real Estate</t>
        </is>
      </c>
      <c r="H192">
        <f>HYPERLINK("https://app.apollo.io/#/accounts/6577f3c437a15e01983444a0")</f>
        <v/>
      </c>
      <c r="I192">
        <f>HYPERLINK("http://www.klm-re.com/")</f>
        <v/>
      </c>
      <c r="J192">
        <f>HYPERLINK("http://www.linkedin.com/company/klm-realestate")</f>
        <v/>
      </c>
      <c r="K192">
        <f>HYPERLINK("https://twitter.com/klmrealestate")</f>
        <v/>
      </c>
      <c r="L192">
        <f>HYPERLINK("Not Found")</f>
        <v/>
      </c>
      <c r="M192" t="inlineStr">
        <is>
          <t>London, United Kingdom</t>
        </is>
      </c>
      <c r="N192" t="inlineStr">
        <is>
          <t>25</t>
        </is>
      </c>
      <c r="O192" t="inlineStr">
        <is>
          <t>Commercial Real Estate</t>
        </is>
      </c>
      <c r="P192" t="inlineStr">
        <is>
          <t>agency,agency,investment,investment</t>
        </is>
      </c>
    </row>
    <row r="193">
      <c r="A193" t="inlineStr">
        <is>
          <t>6577fde2037fac011445703c</t>
        </is>
      </c>
      <c r="B193" t="inlineStr">
        <is>
          <t>Graham Saunders</t>
        </is>
      </c>
      <c r="C193">
        <f>HYPERLINK("http://www.linkedin.com/in/grahamsaunders1")</f>
        <v/>
      </c>
      <c r="D193" t="inlineStr">
        <is>
          <t>gsaunders@vailwilliams.com</t>
        </is>
      </c>
      <c r="E193" t="inlineStr">
        <is>
          <t>Partner</t>
        </is>
      </c>
      <c r="F193">
        <f>HYPERLINK("https://app.apollo.io/#/contacts/6577fde2037fac011445703c")</f>
        <v/>
      </c>
      <c r="G193" t="inlineStr">
        <is>
          <t>Vail Williams</t>
        </is>
      </c>
      <c r="H193">
        <f>HYPERLINK("https://app.apollo.io/#/accounts/6577f2d837a15e011434a82f")</f>
        <v/>
      </c>
      <c r="I193">
        <f>HYPERLINK("http://www.vailwilliams.com/")</f>
        <v/>
      </c>
      <c r="J193">
        <f>HYPERLINK("http://www.linkedin.com/company/vail-williams")</f>
        <v/>
      </c>
      <c r="K193">
        <f>HYPERLINK("https://twitter.com/vailwilliams")</f>
        <v/>
      </c>
      <c r="L193">
        <f>HYPERLINK("https://www.facebook.com/vailwilliams")</f>
        <v/>
      </c>
      <c r="M193" t="inlineStr">
        <is>
          <t>London, United Kingdom</t>
        </is>
      </c>
      <c r="N193" t="inlineStr">
        <is>
          <t>200</t>
        </is>
      </c>
      <c r="O193" t="inlineStr">
        <is>
          <t>Commercial Real Estate</t>
        </is>
      </c>
      <c r="P193" t="inlineStr">
        <is>
          <t>real estate,real estate,real estate agents,real estate agents</t>
        </is>
      </c>
    </row>
    <row r="194">
      <c r="A194" t="inlineStr">
        <is>
          <t>6577fda7037fac0114456e78</t>
        </is>
      </c>
      <c r="B194" t="inlineStr">
        <is>
          <t>Jeremy Grundy</t>
        </is>
      </c>
      <c r="C194">
        <f>HYPERLINK("http://www.linkedin.com/in/jeremy-grundy-6b3b6147")</f>
        <v/>
      </c>
      <c r="D194" t="inlineStr">
        <is>
          <t>jeremy.grundy@levyrealestate.co.uk</t>
        </is>
      </c>
      <c r="E194" t="inlineStr">
        <is>
          <t>Partner</t>
        </is>
      </c>
      <c r="F194">
        <f>HYPERLINK("https://app.apollo.io/#/contacts/6577fda7037fac0114456e78")</f>
        <v/>
      </c>
      <c r="G194" t="inlineStr">
        <is>
          <t>Levy Real Estate</t>
        </is>
      </c>
      <c r="H194">
        <f>HYPERLINK("https://app.apollo.io/#/accounts/6577f46e37a15e011434b20c")</f>
        <v/>
      </c>
      <c r="I194">
        <f>HYPERLINK("http://www.levyrealestate.co.uk/")</f>
        <v/>
      </c>
      <c r="J194">
        <f>HYPERLINK("http://www.linkedin.com/company/levyrealestate")</f>
        <v/>
      </c>
      <c r="K194">
        <f>HYPERLINK("Not Found")</f>
        <v/>
      </c>
      <c r="L194">
        <f>HYPERLINK("Not Found")</f>
        <v/>
      </c>
      <c r="M194" t="inlineStr">
        <is>
          <t>London, United Kingdom</t>
        </is>
      </c>
      <c r="N194" t="inlineStr">
        <is>
          <t>50</t>
        </is>
      </c>
      <c r="O194" t="inlineStr">
        <is>
          <t>Commercial Real Estate</t>
        </is>
      </c>
    </row>
    <row r="195">
      <c r="A195" t="inlineStr">
        <is>
          <t>6577fdf8037fac01144570e4</t>
        </is>
      </c>
      <c r="B195" t="inlineStr">
        <is>
          <t>Mike Needham</t>
        </is>
      </c>
      <c r="C195">
        <f>HYPERLINK("http://www.linkedin.com/in/mike-needham-0b8b8618")</f>
        <v/>
      </c>
      <c r="D195" t="inlineStr">
        <is>
          <t>mike.needham@kimmre.com</t>
        </is>
      </c>
      <c r="E195" t="inlineStr">
        <is>
          <t>Partner</t>
        </is>
      </c>
      <c r="F195">
        <f>HYPERLINK("https://app.apollo.io/#/contacts/6577fdf8037fac01144570e4")</f>
        <v/>
      </c>
      <c r="G195" t="inlineStr">
        <is>
          <t>Kimmre</t>
        </is>
      </c>
      <c r="H195">
        <f>HYPERLINK("https://app.apollo.io/#/accounts/6577f42037a15e022d340bf9")</f>
        <v/>
      </c>
      <c r="I195">
        <f>HYPERLINK("http://www.kimmre.com/")</f>
        <v/>
      </c>
      <c r="J195">
        <f>HYPERLINK("http://www.linkedin.com/company/kimmre")</f>
        <v/>
      </c>
      <c r="K195">
        <f>HYPERLINK("Not Found")</f>
        <v/>
      </c>
      <c r="L195">
        <f>HYPERLINK("Not Found")</f>
        <v/>
      </c>
      <c r="M195" t="inlineStr">
        <is>
          <t>West End, United Kingdom</t>
        </is>
      </c>
      <c r="N195" t="inlineStr">
        <is>
          <t>18</t>
        </is>
      </c>
      <c r="O195" t="inlineStr">
        <is>
          <t>Commercial Real Estate</t>
        </is>
      </c>
      <c r="P195" t="inlineStr">
        <is>
          <t>commercial real estate,commercial real estate</t>
        </is>
      </c>
    </row>
    <row r="196">
      <c r="A196" t="inlineStr">
        <is>
          <t>6101408dd2339b0001ab1586</t>
        </is>
      </c>
      <c r="B196" t="inlineStr">
        <is>
          <t>Richard Scholes</t>
        </is>
      </c>
      <c r="C196">
        <f>HYPERLINK("http://www.linkedin.com/in/richard-scholes-41887481")</f>
        <v/>
      </c>
      <c r="D196" t="inlineStr">
        <is>
          <t>richard@parrs.co.uk</t>
        </is>
      </c>
      <c r="E196" t="inlineStr">
        <is>
          <t>Business Owner</t>
        </is>
      </c>
      <c r="F196">
        <f>HYPERLINK("https://app.apollo.io/#/people/6101408dd2339b0001ab1586")</f>
        <v/>
      </c>
      <c r="G196" t="inlineStr">
        <is>
          <t>PARRS</t>
        </is>
      </c>
      <c r="H196">
        <f>HYPERLINK("https://app.apollo.io/#/accounts/6577f08d85e3150114656368")</f>
        <v/>
      </c>
      <c r="I196">
        <f>HYPERLINK("http://www.parrs.co.uk/")</f>
        <v/>
      </c>
      <c r="J196">
        <f>HYPERLINK("http://www.linkedin.com/company/parrs")</f>
        <v/>
      </c>
      <c r="K196">
        <f>HYPERLINK("https://twitter.com/ParrsWorkplace")</f>
        <v/>
      </c>
      <c r="L196">
        <f>HYPERLINK("https://www.facebook.com/ParrsWorkplace/")</f>
        <v/>
      </c>
      <c r="M196" t="inlineStr">
        <is>
          <t>England, United Kingdom</t>
        </is>
      </c>
      <c r="N196" t="inlineStr">
        <is>
          <t>24</t>
        </is>
      </c>
      <c r="O196" t="inlineStr">
        <is>
          <t>Commercial Real Estate</t>
        </is>
      </c>
      <c r="P196" t="inlineStr">
        <is>
          <t>cycle racks,cycle racks,shelters,shelters</t>
        </is>
      </c>
    </row>
    <row r="197">
      <c r="A197" t="inlineStr">
        <is>
          <t>6578105036e44300fcb8ef4f</t>
        </is>
      </c>
      <c r="B197" t="inlineStr">
        <is>
          <t>Richard Scholes</t>
        </is>
      </c>
      <c r="C197">
        <f>HYPERLINK("http://www.linkedin.com/in/richard-scholes-41887481")</f>
        <v/>
      </c>
      <c r="D197" t="inlineStr">
        <is>
          <t>richard@parrs.co.uk</t>
        </is>
      </c>
      <c r="E197" t="inlineStr">
        <is>
          <t>Business Owner</t>
        </is>
      </c>
      <c r="F197">
        <f>HYPERLINK("https://app.apollo.io/#/contacts/6578105036e44300fcb8ef4f")</f>
        <v/>
      </c>
      <c r="G197" t="inlineStr">
        <is>
          <t>PARRS</t>
        </is>
      </c>
      <c r="H197">
        <f>HYPERLINK("https://app.apollo.io/#/accounts/6577f08d85e3150114656368")</f>
        <v/>
      </c>
      <c r="I197">
        <f>HYPERLINK("http://www.parrs.co.uk/")</f>
        <v/>
      </c>
      <c r="J197">
        <f>HYPERLINK("http://www.linkedin.com/company/parrs")</f>
        <v/>
      </c>
      <c r="K197">
        <f>HYPERLINK("https://twitter.com/ParrsWorkplace")</f>
        <v/>
      </c>
      <c r="L197">
        <f>HYPERLINK("https://www.facebook.com/ParrsWorkplace/")</f>
        <v/>
      </c>
      <c r="M197" t="inlineStr">
        <is>
          <t>England, United Kingdom</t>
        </is>
      </c>
      <c r="N197" t="inlineStr">
        <is>
          <t>24</t>
        </is>
      </c>
      <c r="O197" t="inlineStr">
        <is>
          <t>Commercial Real Estate</t>
        </is>
      </c>
      <c r="P197" t="inlineStr">
        <is>
          <t>cycle racks,cycle racks,shelters,shelters</t>
        </is>
      </c>
    </row>
    <row r="198">
      <c r="A198" t="inlineStr">
        <is>
          <t>6577fe10037fac011445719d</t>
        </is>
      </c>
      <c r="B198" t="inlineStr">
        <is>
          <t>Andrew Baines</t>
        </is>
      </c>
      <c r="C198">
        <f>HYPERLINK("http://www.linkedin.com/in/andrew-baines-401b6116")</f>
        <v/>
      </c>
      <c r="D198" t="inlineStr">
        <is>
          <t>abaines@dohertybaines.com</t>
        </is>
      </c>
      <c r="E198" t="inlineStr">
        <is>
          <t>Partner</t>
        </is>
      </c>
      <c r="F198">
        <f>HYPERLINK("https://app.apollo.io/#/contacts/6577fe10037fac011445719d")</f>
        <v/>
      </c>
      <c r="G198" t="inlineStr">
        <is>
          <t>DohertyBaines</t>
        </is>
      </c>
      <c r="H198">
        <f>HYPERLINK("https://app.apollo.io/#/accounts/6577f3e537a15e011434ae08")</f>
        <v/>
      </c>
      <c r="I198">
        <f>HYPERLINK("http://www.dohertybaines.com/")</f>
        <v/>
      </c>
      <c r="J198">
        <f>HYPERLINK("http://www.linkedin.com/company/dohertybaines")</f>
        <v/>
      </c>
      <c r="K198">
        <f>HYPERLINK("https://twitter.com/dohertybaines")</f>
        <v/>
      </c>
      <c r="L198">
        <f>HYPERLINK("Not Found")</f>
        <v/>
      </c>
      <c r="M198" t="inlineStr">
        <is>
          <t>United Kingdom</t>
        </is>
      </c>
      <c r="N198" t="inlineStr">
        <is>
          <t>15</t>
        </is>
      </c>
      <c r="O198" t="inlineStr">
        <is>
          <t>Commercial Real Estate</t>
        </is>
      </c>
      <c r="P198" t="inlineStr">
        <is>
          <t>real estate advisory,real estate advisory</t>
        </is>
      </c>
    </row>
    <row r="199">
      <c r="A199" t="inlineStr">
        <is>
          <t>6577fdfc037fac0114457113</t>
        </is>
      </c>
      <c r="B199" t="inlineStr">
        <is>
          <t>Alan McKinstry</t>
        </is>
      </c>
      <c r="C199">
        <f>HYPERLINK("http://www.linkedin.com/in/alan-mckinstry-893380b3")</f>
        <v/>
      </c>
      <c r="D199" t="inlineStr">
        <is>
          <t>alan.mckinstry@okt.co.uk</t>
        </is>
      </c>
      <c r="E199" t="inlineStr">
        <is>
          <t>Partner</t>
        </is>
      </c>
      <c r="F199">
        <f>HYPERLINK("https://app.apollo.io/#/contacts/6577fdfc037fac0114457113")</f>
        <v/>
      </c>
      <c r="G199" t="inlineStr">
        <is>
          <t>OKT (O'Connor Kennedy Turtle)</t>
        </is>
      </c>
      <c r="H199">
        <f>HYPERLINK("https://app.apollo.io/#/accounts/6577f33237a15e0198344310")</f>
        <v/>
      </c>
      <c r="I199">
        <f>HYPERLINK("http://www.okt.co.uk/")</f>
        <v/>
      </c>
      <c r="J199">
        <f>HYPERLINK("http://www.linkedin.com/company/okt-o'connor-kennedy-turtle-")</f>
        <v/>
      </c>
      <c r="K199">
        <f>HYPERLINK("https://www.twitter.com/OKTBelfast")</f>
        <v/>
      </c>
      <c r="L199">
        <f>HYPERLINK("https://facebook.com/pages/OKT-OConnor-Kennedy-Turtle/1417342818482903")</f>
        <v/>
      </c>
      <c r="M199" t="inlineStr">
        <is>
          <t>Belfast, United Kingdom</t>
        </is>
      </c>
      <c r="N199" t="inlineStr">
        <is>
          <t>8</t>
        </is>
      </c>
      <c r="O199" t="inlineStr">
        <is>
          <t>Commercial Real Estate</t>
        </is>
      </c>
      <c r="P199" t="inlineStr">
        <is>
          <t>commercial property,commercial property</t>
        </is>
      </c>
    </row>
    <row r="200">
      <c r="A200" t="inlineStr">
        <is>
          <t>6577f3c437a15e019834449e</t>
        </is>
      </c>
      <c r="B200" t="inlineStr">
        <is>
          <t>Rupert Guy</t>
        </is>
      </c>
      <c r="C200">
        <f>HYPERLINK("http://www.linkedin.com/in/rupert-guy-063657155")</f>
        <v/>
      </c>
      <c r="D200" t="inlineStr">
        <is>
          <t>rguy@klmretail.com</t>
        </is>
      </c>
      <c r="E200" t="inlineStr">
        <is>
          <t>Partner</t>
        </is>
      </c>
      <c r="F200">
        <f>HYPERLINK("https://app.apollo.io/#/contacts/6577f3c437a15e019834449e")</f>
        <v/>
      </c>
      <c r="G200" t="inlineStr">
        <is>
          <t>KLM Real Estate</t>
        </is>
      </c>
      <c r="H200">
        <f>HYPERLINK("https://app.apollo.io/#/accounts/6577f3c437a15e01983444a0")</f>
        <v/>
      </c>
      <c r="I200">
        <f>HYPERLINK("http://www.klm-re.com/")</f>
        <v/>
      </c>
      <c r="J200">
        <f>HYPERLINK("http://www.linkedin.com/company/klm-realestate")</f>
        <v/>
      </c>
      <c r="K200">
        <f>HYPERLINK("https://twitter.com/klmrealestate")</f>
        <v/>
      </c>
      <c r="L200">
        <f>HYPERLINK("Not Found")</f>
        <v/>
      </c>
      <c r="M200" t="inlineStr">
        <is>
          <t>Slough, United Kingdom</t>
        </is>
      </c>
      <c r="N200" t="inlineStr">
        <is>
          <t>25</t>
        </is>
      </c>
      <c r="O200" t="inlineStr">
        <is>
          <t>Commercial Real Estate</t>
        </is>
      </c>
      <c r="P200" t="inlineStr">
        <is>
          <t>agency,agency,investment,investment</t>
        </is>
      </c>
    </row>
    <row r="201">
      <c r="A201" t="inlineStr">
        <is>
          <t>6577f40037a15e01983445ac</t>
        </is>
      </c>
      <c r="B201" t="inlineStr">
        <is>
          <t>Jonathan Lager</t>
        </is>
      </c>
      <c r="C201">
        <f>HYPERLINK("http://www.linkedin.com/in/jonathan-lager-32a5b316")</f>
        <v/>
      </c>
      <c r="D201" t="inlineStr">
        <is>
          <t>jcsl@robinsonlayer.co.uk</t>
        </is>
      </c>
      <c r="E201" t="inlineStr">
        <is>
          <t>Partner</t>
        </is>
      </c>
      <c r="F201">
        <f>HYPERLINK("https://app.apollo.io/#/contacts/6577f40037a15e01983445ac")</f>
        <v/>
      </c>
      <c r="G201" t="inlineStr">
        <is>
          <t>Robinson Layer LLP</t>
        </is>
      </c>
      <c r="H201">
        <f>HYPERLINK("https://app.apollo.io/#/accounts/6577f40037a15e01983445ae")</f>
        <v/>
      </c>
      <c r="I201">
        <f>HYPERLINK("http://www.robinsonlayer.co.uk/")</f>
        <v/>
      </c>
      <c r="J201">
        <f>HYPERLINK("http://www.linkedin.com/company/robinson-layer-llp")</f>
        <v/>
      </c>
      <c r="K201">
        <f>HYPERLINK("Not Found")</f>
        <v/>
      </c>
      <c r="L201">
        <f>HYPERLINK("Not Found")</f>
        <v/>
      </c>
      <c r="M201" t="inlineStr">
        <is>
          <t>Cambridge, United Kingdom</t>
        </is>
      </c>
      <c r="N201" t="inlineStr">
        <is>
          <t>3</t>
        </is>
      </c>
      <c r="O201" t="inlineStr">
        <is>
          <t>Commercial Real Estate</t>
        </is>
      </c>
      <c r="P201" t="inlineStr">
        <is>
          <t>landlord tenant,landlord tenant,rating amp valuation,rating amp valuation</t>
        </is>
      </c>
    </row>
    <row r="202">
      <c r="A202" t="inlineStr">
        <is>
          <t>611a80a6d662ce0001bb69d6</t>
        </is>
      </c>
      <c r="B202" t="inlineStr">
        <is>
          <t>Matt Hamill</t>
        </is>
      </c>
      <c r="C202">
        <f>HYPERLINK("http://www.linkedin.com/in/matt-hamill-1b7611141")</f>
        <v/>
      </c>
      <c r="D202" t="inlineStr">
        <is>
          <t>matthamill@firstchoiceequipment.co.uk</t>
        </is>
      </c>
      <c r="E202" t="inlineStr">
        <is>
          <t>Co-Founder &amp; Director</t>
        </is>
      </c>
      <c r="F202">
        <f>HYPERLINK("https://app.apollo.io/#/people/611a80a6d662ce0001bb69d6")</f>
        <v/>
      </c>
      <c r="G202" t="inlineStr">
        <is>
          <t>Resolve</t>
        </is>
      </c>
      <c r="H202">
        <f>HYPERLINK("https://app.apollo.io/#/accounts/6577fd7c037fac0114456d39")</f>
        <v/>
      </c>
      <c r="I202">
        <f>HYPERLINK("http://www.weare-resolve.com/")</f>
        <v/>
      </c>
      <c r="J202">
        <f>HYPERLINK("http://www.linkedin.com/company/weare-resolve")</f>
        <v/>
      </c>
      <c r="K202">
        <f>HYPERLINK("https://twitter.com/weare_resolve")</f>
        <v/>
      </c>
      <c r="L202">
        <f>HYPERLINK("https://www.facebook.com/FirstChoiceEquipment")</f>
        <v/>
      </c>
      <c r="M202" t="inlineStr">
        <is>
          <t>Portsmouth, United Kingdom</t>
        </is>
      </c>
      <c r="N202" t="inlineStr">
        <is>
          <t>50</t>
        </is>
      </c>
      <c r="O202" t="inlineStr">
        <is>
          <t>Commercial Real Estate</t>
        </is>
      </c>
      <c r="P202" t="inlineStr">
        <is>
          <t>powered access,powered access,low level access,low level access</t>
        </is>
      </c>
    </row>
    <row r="203">
      <c r="A203" t="inlineStr">
        <is>
          <t>65789b023bcf3301ae8260b2</t>
        </is>
      </c>
      <c r="B203" t="inlineStr">
        <is>
          <t>Matt Hamill</t>
        </is>
      </c>
      <c r="C203">
        <f>HYPERLINK("http://www.linkedin.com/in/matt-hamill-1b7611141")</f>
        <v/>
      </c>
      <c r="D203" t="inlineStr">
        <is>
          <t>matthamill@firstchoiceequipment.co.uk</t>
        </is>
      </c>
      <c r="E203" t="inlineStr">
        <is>
          <t>Co-Founder &amp; Director</t>
        </is>
      </c>
      <c r="F203">
        <f>HYPERLINK("https://app.apollo.io/#/contacts/65789b023bcf3301ae8260b2")</f>
        <v/>
      </c>
      <c r="G203" t="inlineStr">
        <is>
          <t>Resolve</t>
        </is>
      </c>
      <c r="H203">
        <f>HYPERLINK("https://app.apollo.io/#/accounts/6577fd7c037fac0114456d39")</f>
        <v/>
      </c>
      <c r="I203">
        <f>HYPERLINK("http://www.weare-resolve.com/")</f>
        <v/>
      </c>
      <c r="J203">
        <f>HYPERLINK("http://www.linkedin.com/company/weare-resolve")</f>
        <v/>
      </c>
      <c r="K203">
        <f>HYPERLINK("https://twitter.com/weare_resolve")</f>
        <v/>
      </c>
      <c r="L203">
        <f>HYPERLINK("https://www.facebook.com/FirstChoiceEquipment")</f>
        <v/>
      </c>
      <c r="M203" t="inlineStr">
        <is>
          <t>Portsmouth, United Kingdom</t>
        </is>
      </c>
      <c r="N203" t="inlineStr">
        <is>
          <t>50</t>
        </is>
      </c>
      <c r="O203" t="inlineStr">
        <is>
          <t>Commercial Real Estate</t>
        </is>
      </c>
      <c r="P203" t="inlineStr">
        <is>
          <t>powered access,powered access,low level access,low level access</t>
        </is>
      </c>
    </row>
    <row r="204">
      <c r="A204" t="inlineStr">
        <is>
          <t>63a5ad4bca99450001d3ceab</t>
        </is>
      </c>
      <c r="B204" t="inlineStr">
        <is>
          <t>Darryl Flay</t>
        </is>
      </c>
      <c r="C204">
        <f>HYPERLINK("http://www.linkedin.com/in/darryl-flay-ba3230185")</f>
        <v/>
      </c>
      <c r="D204" t="inlineStr">
        <is>
          <t>darryl.flay@goodstoneliving.com</t>
        </is>
      </c>
      <c r="E204" t="inlineStr">
        <is>
          <t>Founder &amp; Principal</t>
        </is>
      </c>
      <c r="F204">
        <f>HYPERLINK("https://app.apollo.io/#/people/63a5ad4bca99450001d3ceab")</f>
        <v/>
      </c>
      <c r="G204" t="inlineStr">
        <is>
          <t>Goodstone Living</t>
        </is>
      </c>
      <c r="H204">
        <f>HYPERLINK("https://app.apollo.io/#/accounts/6577d5c3fbb14b01136c52ca")</f>
        <v/>
      </c>
      <c r="I204">
        <f>HYPERLINK("http://www.goodstoneliving.com/")</f>
        <v/>
      </c>
      <c r="J204">
        <f>HYPERLINK("http://www.linkedin.com/company/goodstone-living")</f>
        <v/>
      </c>
      <c r="K204">
        <f>HYPERLINK("https://twitter.com/GoodstoneLiving")</f>
        <v/>
      </c>
      <c r="L204">
        <f>HYPERLINK("Not Found")</f>
        <v/>
      </c>
      <c r="M204" t="inlineStr">
        <is>
          <t>United Kingdom</t>
        </is>
      </c>
      <c r="N204" t="inlineStr">
        <is>
          <t>17</t>
        </is>
      </c>
      <c r="O204" t="inlineStr">
        <is>
          <t>Commercial Real Estate</t>
        </is>
      </c>
    </row>
    <row r="205">
      <c r="A205" t="inlineStr">
        <is>
          <t>60398e3babb4a10001a1f5af</t>
        </is>
      </c>
      <c r="B205" t="inlineStr">
        <is>
          <t>Paul Aitchison</t>
        </is>
      </c>
      <c r="C205">
        <f>HYPERLINK("http://www.linkedin.com/in/paul-aitchison-623b9713a")</f>
        <v/>
      </c>
      <c r="D205" t="inlineStr">
        <is>
          <t>Not Found</t>
        </is>
      </c>
      <c r="E205" t="inlineStr">
        <is>
          <t>Chief Financial Officer</t>
        </is>
      </c>
      <c r="F205">
        <f>HYPERLINK("https://app.apollo.io/#/people/60398e3babb4a10001a1f5af")</f>
        <v/>
      </c>
      <c r="G205" t="inlineStr">
        <is>
          <t>Leaders Romans Group</t>
        </is>
      </c>
      <c r="H205">
        <f>HYPERLINK("https://app.apollo.io/#/organizations/5b158cc4a6da9870fd27f354")</f>
        <v/>
      </c>
      <c r="I205">
        <f>HYPERLINK("http://www.lrg.co.uk/")</f>
        <v/>
      </c>
      <c r="J205">
        <f>HYPERLINK("http://www.linkedin.com/company/leaders-romans-group")</f>
        <v/>
      </c>
      <c r="K205">
        <f>HYPERLINK("Not Found")</f>
        <v/>
      </c>
      <c r="L205">
        <f>HYPERLINK("Not Found")</f>
        <v/>
      </c>
      <c r="M205" t="inlineStr">
        <is>
          <t>Weybridge, United Kingdom</t>
        </is>
      </c>
      <c r="N205" t="inlineStr">
        <is>
          <t>2,600</t>
        </is>
      </c>
      <c r="O205" t="inlineStr">
        <is>
          <t>Not Found</t>
        </is>
      </c>
    </row>
    <row r="206">
      <c r="A206" t="inlineStr">
        <is>
          <t>57dbc1aea6da98686b29a783</t>
        </is>
      </c>
      <c r="B206" t="inlineStr">
        <is>
          <t>Rene Fourie</t>
        </is>
      </c>
      <c r="C206">
        <f>HYPERLINK("http://www.linkedin.com/in/rene-fourie-50081486")</f>
        <v/>
      </c>
      <c r="D206" t="inlineStr">
        <is>
          <t>Not Found</t>
        </is>
      </c>
      <c r="E206" t="inlineStr">
        <is>
          <t>Head of Sales and Marketing</t>
        </is>
      </c>
      <c r="F206">
        <f>HYPERLINK("https://app.apollo.io/#/people/57dbc1aea6da98686b29a783")</f>
        <v/>
      </c>
      <c r="G206" t="inlineStr">
        <is>
          <t>Dukelease Properties</t>
        </is>
      </c>
      <c r="H206">
        <f>HYPERLINK("https://app.apollo.io/#/organizations/5a9d9c1da6da98d935665a67")</f>
        <v/>
      </c>
      <c r="I206">
        <f>HYPERLINK("http://www.dukelease.com/")</f>
        <v/>
      </c>
      <c r="J206">
        <f>HYPERLINK("http://www.linkedin.com/company/dukeleaseproperties")</f>
        <v/>
      </c>
      <c r="K206">
        <f>HYPERLINK("Not Found")</f>
        <v/>
      </c>
      <c r="L206">
        <f>HYPERLINK("Not Found")</f>
        <v/>
      </c>
      <c r="M206" t="inlineStr">
        <is>
          <t>London, United Kingdom</t>
        </is>
      </c>
      <c r="N206" t="inlineStr">
        <is>
          <t>12</t>
        </is>
      </c>
      <c r="O206" t="inlineStr">
        <is>
          <t>Not Found</t>
        </is>
      </c>
    </row>
    <row r="207">
      <c r="A207" t="inlineStr">
        <is>
          <t>5ab4e953a6da98b5fcdbbe32</t>
        </is>
      </c>
      <c r="B207" t="inlineStr">
        <is>
          <t>Adam Landau</t>
        </is>
      </c>
      <c r="C207">
        <f>HYPERLINK("http://www.linkedin.com/in/adam-landau-5929ab1b")</f>
        <v/>
      </c>
      <c r="D207" t="inlineStr">
        <is>
          <t>Not Found</t>
        </is>
      </c>
      <c r="E207" t="inlineStr">
        <is>
          <t>CEO</t>
        </is>
      </c>
      <c r="F207">
        <f>HYPERLINK("https://app.apollo.io/#/people/5ab4e953a6da98b5fcdbbe32")</f>
        <v/>
      </c>
      <c r="G207" t="inlineStr">
        <is>
          <t>One One One</t>
        </is>
      </c>
      <c r="H207">
        <f>HYPERLINK("https://app.apollo.io/#/organizations/5a9da0c6a6da98d94d8db3cf")</f>
        <v/>
      </c>
      <c r="I207">
        <f>HYPERLINK("http://www.oneadv.co.uk/")</f>
        <v/>
      </c>
      <c r="J207">
        <f>HYPERLINK("http://www.linkedin.com/company/one-one-one")</f>
        <v/>
      </c>
      <c r="K207">
        <f>HYPERLINK("https://twitter.com/_the_ones")</f>
        <v/>
      </c>
      <c r="L207">
        <f>HYPERLINK("Not Found")</f>
        <v/>
      </c>
      <c r="M207" t="inlineStr">
        <is>
          <t>London, United Kingdom</t>
        </is>
      </c>
      <c r="N207" t="inlineStr">
        <is>
          <t>3</t>
        </is>
      </c>
      <c r="O207" t="inlineStr">
        <is>
          <t>Not Found</t>
        </is>
      </c>
    </row>
    <row r="208">
      <c r="A208" t="inlineStr">
        <is>
          <t>60e40575d08387000162021e</t>
        </is>
      </c>
      <c r="B208" t="inlineStr">
        <is>
          <t>Rishi Chouhan</t>
        </is>
      </c>
      <c r="C208">
        <f>HYPERLINK("http://www.linkedin.com/in/rishi-chouhan-257b6631")</f>
        <v/>
      </c>
      <c r="D208" t="inlineStr">
        <is>
          <t>Not Found</t>
        </is>
      </c>
      <c r="E208" t="inlineStr">
        <is>
          <t>Chief Executive Officer</t>
        </is>
      </c>
      <c r="F208">
        <f>HYPERLINK("https://app.apollo.io/#/people/60e40575d08387000162021e")</f>
        <v/>
      </c>
      <c r="G208" t="inlineStr">
        <is>
          <t>Luxury Living Homes International</t>
        </is>
      </c>
      <c r="H208">
        <f>HYPERLINK("https://app.apollo.io/#/organizations/5f157842391e1c01146752a1")</f>
        <v/>
      </c>
      <c r="I208">
        <f>HYPERLINK("http://www.luxurylivinghomes.co.uk/")</f>
        <v/>
      </c>
      <c r="J208">
        <f>HYPERLINK("http://www.linkedin.com/company/luxurylivinghomes")</f>
        <v/>
      </c>
      <c r="K208">
        <f>HYPERLINK("Not Found")</f>
        <v/>
      </c>
      <c r="L208">
        <f>HYPERLINK("https://www.facebook.com/100775214687803")</f>
        <v/>
      </c>
      <c r="M208" t="inlineStr">
        <is>
          <t>London, United Kingdom</t>
        </is>
      </c>
      <c r="N208" t="inlineStr">
        <is>
          <t>50</t>
        </is>
      </c>
      <c r="O208" t="inlineStr">
        <is>
          <t>Not Found</t>
        </is>
      </c>
    </row>
    <row r="209">
      <c r="A209" t="inlineStr">
        <is>
          <t>5f9870bd3bbd700001891b5d</t>
        </is>
      </c>
      <c r="B209" t="inlineStr">
        <is>
          <t>Ed</t>
        </is>
      </c>
      <c r="C209">
        <f>HYPERLINK("http://www.linkedin.com/in/ed-c-7489884")</f>
        <v/>
      </c>
      <c r="D209" t="inlineStr">
        <is>
          <t>Not Found</t>
        </is>
      </c>
      <c r="E209" t="inlineStr">
        <is>
          <t>Chief Executive Officer</t>
        </is>
      </c>
      <c r="F209">
        <f>HYPERLINK("https://app.apollo.io/#/people/5f9870bd3bbd700001891b5d")</f>
        <v/>
      </c>
      <c r="G209" t="inlineStr">
        <is>
          <t>Landmark</t>
        </is>
      </c>
      <c r="H209">
        <f>HYPERLINK("https://app.apollo.io/#/accounts/6578b685326fa101ae8df74d")</f>
        <v/>
      </c>
      <c r="I209">
        <f>HYPERLINK("http://www.landmarkspace.co.uk/")</f>
        <v/>
      </c>
      <c r="J209">
        <f>HYPERLINK("http://www.linkedin.com/company/landmarkspace")</f>
        <v/>
      </c>
      <c r="K209">
        <f>HYPERLINK("https://twitter.com/landmark_space")</f>
        <v/>
      </c>
      <c r="L209">
        <f>HYPERLINK("https://www.facebook.com/landmarkspace")</f>
        <v/>
      </c>
      <c r="M209" t="inlineStr">
        <is>
          <t>Chipping Norton, United Kingdom</t>
        </is>
      </c>
      <c r="N209" t="inlineStr">
        <is>
          <t>460</t>
        </is>
      </c>
      <c r="O209" t="inlineStr">
        <is>
          <t>Commercial Real Estate</t>
        </is>
      </c>
      <c r="P209" t="inlineStr">
        <is>
          <t>virtual office,meeting rooms</t>
        </is>
      </c>
    </row>
    <row r="210">
      <c r="A210" t="inlineStr">
        <is>
          <t>54a4d80d7468692fa23c1968</t>
        </is>
      </c>
      <c r="B210" t="inlineStr">
        <is>
          <t>Faisal Mirza</t>
        </is>
      </c>
      <c r="C210">
        <f>HYPERLINK("http://www.linkedin.com/in/faisalmirza75")</f>
        <v/>
      </c>
      <c r="D210" t="inlineStr">
        <is>
          <t>Not Found</t>
        </is>
      </c>
      <c r="E210" t="inlineStr">
        <is>
          <t>Head of Marketing and Sales</t>
        </is>
      </c>
      <c r="F210">
        <f>HYPERLINK("https://app.apollo.io/#/people/54a4d80d7468692fa23c1968")</f>
        <v/>
      </c>
      <c r="G210" t="inlineStr">
        <is>
          <t>Marina Enclave, Gwadar</t>
        </is>
      </c>
      <c r="H210">
        <f>HYPERLINK("https://app.apollo.io/#/organizations/5f42169fec0ce700015f730a")</f>
        <v/>
      </c>
      <c r="I210">
        <f>HYPERLINK("http://www.marinaenclave.pk/")</f>
        <v/>
      </c>
      <c r="J210">
        <f>HYPERLINK("http://www.linkedin.com/company/marina-enclave-gwadar")</f>
        <v/>
      </c>
      <c r="K210">
        <f>HYPERLINK("https://twitter.com/GwadarMarina")</f>
        <v/>
      </c>
      <c r="L210">
        <f>HYPERLINK("https://www.facebook.com/Marina-Enclave-Gwadar-585393725296085/")</f>
        <v/>
      </c>
      <c r="M210" t="inlineStr">
        <is>
          <t>United Kingdom</t>
        </is>
      </c>
      <c r="N210" t="inlineStr">
        <is>
          <t>3</t>
        </is>
      </c>
      <c r="O210" t="inlineStr">
        <is>
          <t>Not Found</t>
        </is>
      </c>
    </row>
    <row r="211">
      <c r="A211" t="inlineStr">
        <is>
          <t>6476260dff141600014ab67e</t>
        </is>
      </c>
      <c r="B211" t="inlineStr">
        <is>
          <t>Mark Greig</t>
        </is>
      </c>
      <c r="C211">
        <f>HYPERLINK("http://www.linkedin.com/in/mgreig")</f>
        <v/>
      </c>
      <c r="D211" t="inlineStr">
        <is>
          <t>Not Found</t>
        </is>
      </c>
      <c r="E211" t="inlineStr">
        <is>
          <t>CEO</t>
        </is>
      </c>
      <c r="F211">
        <f>HYPERLINK("https://app.apollo.io/#/people/6476260dff141600014ab67e")</f>
        <v/>
      </c>
      <c r="G211" t="inlineStr">
        <is>
          <t>Paramount Properties</t>
        </is>
      </c>
      <c r="H211">
        <f>HYPERLINK("https://app.apollo.io/#/organizations/62eaef21bd5ce200cb150f02")</f>
        <v/>
      </c>
      <c r="I211">
        <f>HYPERLINK("Not Found")</f>
        <v/>
      </c>
      <c r="J211">
        <f>HYPERLINK("http://www.linkedin.com/company/paramount-group-of-companies")</f>
        <v/>
      </c>
      <c r="K211">
        <f>HYPERLINK("https://twitter.com/paramountldn")</f>
        <v/>
      </c>
      <c r="L211">
        <f>HYPERLINK("https://www.facebook.com/paramountpropertieslondon")</f>
        <v/>
      </c>
      <c r="M211" t="inlineStr">
        <is>
          <t>London, United Kingdom</t>
        </is>
      </c>
      <c r="N211" t="inlineStr">
        <is>
          <t>69</t>
        </is>
      </c>
      <c r="O211" t="inlineStr">
        <is>
          <t>Not Found</t>
        </is>
      </c>
    </row>
    <row r="212">
      <c r="A212" t="inlineStr">
        <is>
          <t>54a47aa574686938ac10224b</t>
        </is>
      </c>
      <c r="B212" t="inlineStr">
        <is>
          <t>Ian Goodwin</t>
        </is>
      </c>
      <c r="C212">
        <f>HYPERLINK("http://www.linkedin.com/in/ian-goodwin-60b31911")</f>
        <v/>
      </c>
      <c r="D212" t="inlineStr">
        <is>
          <t>Not Found</t>
        </is>
      </c>
      <c r="E212" t="inlineStr">
        <is>
          <t>Chief Executive Officer</t>
        </is>
      </c>
      <c r="F212">
        <f>HYPERLINK("https://app.apollo.io/#/people/54a47aa574686938ac10224b")</f>
        <v/>
      </c>
      <c r="G212" t="inlineStr">
        <is>
          <t>The Welbeck Estates Company Limited</t>
        </is>
      </c>
      <c r="H212">
        <f>HYPERLINK("https://app.apollo.io/#/organizations/5569de5a73696425bca4aa00")</f>
        <v/>
      </c>
      <c r="I212">
        <f>HYPERLINK("http://www.welbeck.co.uk/")</f>
        <v/>
      </c>
      <c r="J212">
        <f>HYPERLINK("http://www.linkedin.com/company/the-welbeck-estates-company-limited")</f>
        <v/>
      </c>
      <c r="K212">
        <f>HYPERLINK("https://www.twitter.com/welbeckestate")</f>
        <v/>
      </c>
      <c r="L212">
        <f>HYPERLINK("https://www.facebook.com/WelbeckCourtyard/")</f>
        <v/>
      </c>
      <c r="M212" t="inlineStr">
        <is>
          <t>Milton Keynes, United Kingdom</t>
        </is>
      </c>
      <c r="N212" t="inlineStr">
        <is>
          <t>41</t>
        </is>
      </c>
      <c r="O212" t="inlineStr">
        <is>
          <t>Not Found</t>
        </is>
      </c>
    </row>
    <row r="213">
      <c r="A213" t="inlineStr">
        <is>
          <t>611a32d8bd894f0001569cf7</t>
        </is>
      </c>
      <c r="B213" t="inlineStr">
        <is>
          <t>Peter Kavanagh</t>
        </is>
      </c>
      <c r="C213">
        <f>HYPERLINK("http://www.linkedin.com/in/peter-kavanagh-b5a23414")</f>
        <v/>
      </c>
      <c r="D213" t="inlineStr">
        <is>
          <t>Not Found</t>
        </is>
      </c>
      <c r="E213" t="inlineStr">
        <is>
          <t>Chief Executive Officer</t>
        </is>
      </c>
      <c r="F213">
        <f>HYPERLINK("https://app.apollo.io/#/people/611a32d8bd894f0001569cf7")</f>
        <v/>
      </c>
      <c r="G213" t="inlineStr">
        <is>
          <t>Leaders Romans Group</t>
        </is>
      </c>
      <c r="H213">
        <f>HYPERLINK("https://app.apollo.io/#/accounts/6578b8bc85cede01ae5c466b")</f>
        <v/>
      </c>
      <c r="I213">
        <f>HYPERLINK("http://www.lrg.co.uk/")</f>
        <v/>
      </c>
      <c r="J213">
        <f>HYPERLINK("http://www.linkedin.com/company/leaders-romans-group")</f>
        <v/>
      </c>
      <c r="K213">
        <f>HYPERLINK("Not Found")</f>
        <v/>
      </c>
      <c r="L213">
        <f>HYPERLINK("Not Found")</f>
        <v/>
      </c>
      <c r="M213" t="inlineStr">
        <is>
          <t>Reading, United Kingdom</t>
        </is>
      </c>
      <c r="N213" t="inlineStr">
        <is>
          <t>2,600</t>
        </is>
      </c>
      <c r="O213" t="inlineStr">
        <is>
          <t>Commercial Real Estate</t>
        </is>
      </c>
      <c r="P213" t="inlineStr">
        <is>
          <t>estate agency,lettings</t>
        </is>
      </c>
      <c r="Q213" t="inlineStr">
        <is>
          <t>+441344753230</t>
        </is>
      </c>
    </row>
    <row r="214">
      <c r="A214" t="inlineStr">
        <is>
          <t>64ac516277a99d0001ff3393</t>
        </is>
      </c>
      <c r="B214" t="inlineStr">
        <is>
          <t>Greig Coull</t>
        </is>
      </c>
      <c r="C214">
        <f>HYPERLINK("http://www.linkedin.com/in/greig-coull-b7951016a")</f>
        <v/>
      </c>
      <c r="D214" t="inlineStr">
        <is>
          <t>Not Found</t>
        </is>
      </c>
      <c r="E214" t="inlineStr">
        <is>
          <t>Chief Executive Officer</t>
        </is>
      </c>
      <c r="F214">
        <f>HYPERLINK("https://app.apollo.io/#/people/64ac516277a99d0001ff3393")</f>
        <v/>
      </c>
      <c r="G214" t="inlineStr">
        <is>
          <t>Michelin Scotland Innovation Parc</t>
        </is>
      </c>
      <c r="H214">
        <f>HYPERLINK("https://app.apollo.io/#/organizations/5e57595d1e1aa100013780be")</f>
        <v/>
      </c>
      <c r="I214">
        <f>HYPERLINK("http://www.msipdundee.com/")</f>
        <v/>
      </c>
      <c r="J214">
        <f>HYPERLINK("http://www.linkedin.com/company/michelin-scotland-innovation-parc")</f>
        <v/>
      </c>
      <c r="K214">
        <f>HYPERLINK("Not Found")</f>
        <v/>
      </c>
      <c r="L214">
        <f>HYPERLINK("Not Found")</f>
        <v/>
      </c>
      <c r="M214" t="inlineStr">
        <is>
          <t>Dundee, United Kingdom</t>
        </is>
      </c>
      <c r="N214" t="inlineStr">
        <is>
          <t>15</t>
        </is>
      </c>
      <c r="O214" t="inlineStr">
        <is>
          <t>Not Found</t>
        </is>
      </c>
      <c r="Q214" t="inlineStr">
        <is>
          <t>Not Found</t>
        </is>
      </c>
    </row>
    <row r="215">
      <c r="A215" t="inlineStr">
        <is>
          <t>5fb3dc9ef18f2d0001d55718</t>
        </is>
      </c>
      <c r="B215" t="inlineStr">
        <is>
          <t>Colin Wills</t>
        </is>
      </c>
      <c r="C215">
        <f>HYPERLINK("http://www.linkedin.com/in/colin-wills-86674817b")</f>
        <v/>
      </c>
      <c r="D215" t="inlineStr">
        <is>
          <t>Not Found</t>
        </is>
      </c>
      <c r="E215" t="inlineStr">
        <is>
          <t>Chief Executive Officer</t>
        </is>
      </c>
      <c r="F215">
        <f>HYPERLINK("https://app.apollo.io/#/people/5fb3dc9ef18f2d0001d55718")</f>
        <v/>
      </c>
      <c r="G215" t="inlineStr">
        <is>
          <t>4D Monitoring</t>
        </is>
      </c>
      <c r="H215">
        <f>HYPERLINK("https://app.apollo.io/#/organizations/5b84967e324d441bf465a68d")</f>
        <v/>
      </c>
      <c r="I215">
        <f>HYPERLINK("http://www.4dmonitoring.co.uk/")</f>
        <v/>
      </c>
      <c r="J215">
        <f>HYPERLINK("http://www.linkedin.com/company/4d-monitoring")</f>
        <v/>
      </c>
      <c r="K215">
        <f>HYPERLINK("Not Found")</f>
        <v/>
      </c>
      <c r="L215">
        <f>HYPERLINK("Not Found")</f>
        <v/>
      </c>
      <c r="M215" t="inlineStr">
        <is>
          <t>Cambridge, United Kingdom</t>
        </is>
      </c>
      <c r="N215" t="inlineStr">
        <is>
          <t>6</t>
        </is>
      </c>
      <c r="O215" t="inlineStr">
        <is>
          <t>Not Found</t>
        </is>
      </c>
      <c r="Q215" t="inlineStr">
        <is>
          <t>+441480484999</t>
        </is>
      </c>
    </row>
    <row r="216">
      <c r="A216" t="inlineStr">
        <is>
          <t>54a792747468696b7f5bed40</t>
        </is>
      </c>
      <c r="B216" t="inlineStr">
        <is>
          <t>Paris Magee</t>
        </is>
      </c>
      <c r="C216">
        <f>HYPERLINK("http://www.linkedin.com/in/paris-magee-74004779")</f>
        <v/>
      </c>
      <c r="D216" t="inlineStr">
        <is>
          <t>Not Found</t>
        </is>
      </c>
      <c r="E216" t="inlineStr">
        <is>
          <t>CEO</t>
        </is>
      </c>
      <c r="F216">
        <f>HYPERLINK("https://app.apollo.io/#/people/54a792747468696b7f5bed40")</f>
        <v/>
      </c>
      <c r="G216" t="inlineStr">
        <is>
          <t>Paris Property Group</t>
        </is>
      </c>
      <c r="H216">
        <f>HYPERLINK("https://app.apollo.io/#/organizations/54a12b6569702d931319b802")</f>
        <v/>
      </c>
      <c r="I216">
        <f>HYPERLINK("http://www.parispropertygroup.com/")</f>
        <v/>
      </c>
      <c r="J216">
        <f>HYPERLINK("http://www.linkedin.com/company/paris-property-group")</f>
        <v/>
      </c>
      <c r="K216">
        <f>HYPERLINK("https://twitter.com/thisparislife")</f>
        <v/>
      </c>
      <c r="L216">
        <f>HYPERLINK("https://www.facebook.com/ParisPropertyGroup/")</f>
        <v/>
      </c>
      <c r="M216" t="inlineStr">
        <is>
          <t>Northampton, United Kingdom</t>
        </is>
      </c>
      <c r="N216" t="inlineStr">
        <is>
          <t>3</t>
        </is>
      </c>
      <c r="O216" t="inlineStr">
        <is>
          <t>Commercial Real Estate</t>
        </is>
      </c>
      <c r="P216" t="inlineStr">
        <is>
          <t>paris real estate,paris property</t>
        </is>
      </c>
      <c r="Q216" t="inlineStr">
        <is>
          <t>+33975181899</t>
        </is>
      </c>
    </row>
    <row r="217">
      <c r="A217" t="inlineStr">
        <is>
          <t>6103cdc28b672f00013be04a</t>
        </is>
      </c>
      <c r="B217" t="inlineStr">
        <is>
          <t>Ahsan Ellahi</t>
        </is>
      </c>
      <c r="C217">
        <f>HYPERLINK("http://www.linkedin.com/in/ahsan-ellahi-295283110")</f>
        <v/>
      </c>
      <c r="D217" t="inlineStr">
        <is>
          <t>Not Found</t>
        </is>
      </c>
      <c r="E217" t="inlineStr">
        <is>
          <t>Chief Executive Officer</t>
        </is>
      </c>
      <c r="F217">
        <f>HYPERLINK("https://app.apollo.io/#/people/6103cdc28b672f00013be04a")</f>
        <v/>
      </c>
      <c r="G217" t="inlineStr">
        <is>
          <t>The Langham Estate</t>
        </is>
      </c>
      <c r="H217">
        <f>HYPERLINK("https://app.apollo.io/#/organizations/5d3268eea3ae619960fa5974")</f>
        <v/>
      </c>
      <c r="I217">
        <f>HYPERLINK("http://www.langhamestate.com/")</f>
        <v/>
      </c>
      <c r="J217">
        <f>HYPERLINK("http://www.linkedin.com/company/langham-estate")</f>
        <v/>
      </c>
      <c r="K217">
        <f>HYPERLINK("https://twitter.com/jetpack")</f>
        <v/>
      </c>
      <c r="L217">
        <f>HYPERLINK("https://facebook.com/pages/Langham-Estate-Management-Ltd/249673565101232")</f>
        <v/>
      </c>
      <c r="M217" t="inlineStr">
        <is>
          <t>London, United Kingdom</t>
        </is>
      </c>
      <c r="N217" t="inlineStr">
        <is>
          <t>50</t>
        </is>
      </c>
      <c r="O217" t="inlineStr">
        <is>
          <t>Commercial Real Estate</t>
        </is>
      </c>
      <c r="P217" t="inlineStr">
        <is>
          <t>commercial real estate</t>
        </is>
      </c>
      <c r="Q217" t="inlineStr">
        <is>
          <t>+442075805656</t>
        </is>
      </c>
    </row>
    <row r="218">
      <c r="A218" t="inlineStr">
        <is>
          <t>54a73078746869705a9ac81d</t>
        </is>
      </c>
      <c r="B218" t="inlineStr">
        <is>
          <t>Mark Chessman</t>
        </is>
      </c>
      <c r="C218">
        <f>HYPERLINK("http://www.linkedin.com/in/mark-chessman-98810213")</f>
        <v/>
      </c>
      <c r="D218" t="inlineStr">
        <is>
          <t>mchessman@gpl-hire.co.uk</t>
        </is>
      </c>
      <c r="E218" t="inlineStr">
        <is>
          <t>Chief Executive Officer</t>
        </is>
      </c>
      <c r="F218">
        <f>HYPERLINK("https://app.apollo.io/#/people/54a73078746869705a9ac81d")</f>
        <v/>
      </c>
      <c r="G218" t="inlineStr">
        <is>
          <t>Go Plant Fleet Services Ltd</t>
        </is>
      </c>
      <c r="H218">
        <f>HYPERLINK("https://app.apollo.io/#/accounts/6578aea803912001ae665add")</f>
        <v/>
      </c>
      <c r="I218">
        <f>HYPERLINK("http://www.go-plant.co.uk/")</f>
        <v/>
      </c>
      <c r="J218">
        <f>HYPERLINK("http://www.linkedin.com/company/go-plant-fleet-services-ltd")</f>
        <v/>
      </c>
      <c r="K218">
        <f>HYPERLINK("Not Found")</f>
        <v/>
      </c>
      <c r="L218">
        <f>HYPERLINK("https://www.facebook.com/GoPlantFleetServices/")</f>
        <v/>
      </c>
      <c r="M218" t="inlineStr">
        <is>
          <t>England, United Kingdom</t>
        </is>
      </c>
      <c r="N218" t="inlineStr">
        <is>
          <t>220</t>
        </is>
      </c>
      <c r="O218" t="inlineStr">
        <is>
          <t>Commercial Real Estate</t>
        </is>
      </c>
      <c r="P218" t="inlineStr">
        <is>
          <t>fleet management &amp; maintenance</t>
        </is>
      </c>
      <c r="Q218" t="inlineStr">
        <is>
          <t>+441513554981</t>
        </is>
      </c>
    </row>
    <row r="219">
      <c r="A219" t="inlineStr">
        <is>
          <t>54a4d9607468692cf0686468</t>
        </is>
      </c>
      <c r="B219" t="inlineStr">
        <is>
          <t>Beth Peters</t>
        </is>
      </c>
      <c r="C219">
        <f>HYPERLINK("http://www.linkedin.com/in/beth-peters-a514a44")</f>
        <v/>
      </c>
      <c r="D219" t="inlineStr">
        <is>
          <t>beth@alliancetoolhire.com</t>
        </is>
      </c>
      <c r="E219" t="inlineStr">
        <is>
          <t>Chief Executive Officer</t>
        </is>
      </c>
      <c r="F219">
        <f>HYPERLINK("https://app.apollo.io/#/people/54a4d9607468692cf0686468")</f>
        <v/>
      </c>
      <c r="G219" t="inlineStr">
        <is>
          <t>Alliance Tool Hire</t>
        </is>
      </c>
      <c r="H219">
        <f>HYPERLINK("https://app.apollo.io/#/organizations/6049eaceda31fb0001148603")</f>
        <v/>
      </c>
      <c r="I219">
        <f>HYPERLINK("Not Found")</f>
        <v/>
      </c>
      <c r="J219">
        <f>HYPERLINK("http://www.linkedin.com/company/alliance-tool-hire")</f>
        <v/>
      </c>
      <c r="K219">
        <f>HYPERLINK("Not Found")</f>
        <v/>
      </c>
      <c r="L219">
        <f>HYPERLINK("Not Found")</f>
        <v/>
      </c>
      <c r="M219" t="inlineStr">
        <is>
          <t>United Kingdom</t>
        </is>
      </c>
      <c r="N219" t="inlineStr">
        <is>
          <t>28</t>
        </is>
      </c>
      <c r="O219" t="inlineStr">
        <is>
          <t>Commercial Real Estate</t>
        </is>
      </c>
      <c r="P219" t="inlineStr">
        <is>
          <t>plumbing &amp; pipework</t>
        </is>
      </c>
      <c r="Q219" t="inlineStr">
        <is>
          <t>+448004647060</t>
        </is>
      </c>
    </row>
    <row r="220">
      <c r="A220" t="inlineStr">
        <is>
          <t>60fcd0d7bfa3f70001abd775</t>
        </is>
      </c>
      <c r="B220" t="inlineStr">
        <is>
          <t>Iliya Blazic</t>
        </is>
      </c>
      <c r="C220">
        <f>HYPERLINK("http://www.linkedin.com/in/iliya-blazic-03917326")</f>
        <v/>
      </c>
      <c r="D220" t="inlineStr">
        <is>
          <t>iliya.blazic@goodstoneliving.com</t>
        </is>
      </c>
      <c r="E220" t="inlineStr">
        <is>
          <t>Chief Executive Officer</t>
        </is>
      </c>
      <c r="F220">
        <f>HYPERLINK("https://app.apollo.io/#/people/60fcd0d7bfa3f70001abd775")</f>
        <v/>
      </c>
      <c r="G220" t="inlineStr">
        <is>
          <t>Goodstone Living</t>
        </is>
      </c>
      <c r="H220">
        <f>HYPERLINK("https://app.apollo.io/#/organizations/60fe87daa4ea1e00017ce4ea")</f>
        <v/>
      </c>
      <c r="I220">
        <f>HYPERLINK("http://www.goodstoneliving.com/")</f>
        <v/>
      </c>
      <c r="J220">
        <f>HYPERLINK("http://www.linkedin.com/company/goodstone-living")</f>
        <v/>
      </c>
      <c r="K220">
        <f>HYPERLINK("https://twitter.com/GoodstoneLiving")</f>
        <v/>
      </c>
      <c r="L220">
        <f>HYPERLINK("Not Found")</f>
        <v/>
      </c>
      <c r="M220" t="inlineStr">
        <is>
          <t>London, United Kingdom</t>
        </is>
      </c>
      <c r="N220" t="inlineStr">
        <is>
          <t>17</t>
        </is>
      </c>
      <c r="O220" t="inlineStr">
        <is>
          <t>Commercial Real Estate</t>
        </is>
      </c>
      <c r="Q220" t="inlineStr">
        <is>
          <t>+442045377300</t>
        </is>
      </c>
    </row>
    <row r="221">
      <c r="A221" t="inlineStr">
        <is>
          <t>61014e9a756a0c00017dfd0d</t>
        </is>
      </c>
      <c r="B221" t="inlineStr">
        <is>
          <t>Julie Green</t>
        </is>
      </c>
      <c r="C221">
        <f>HYPERLINK("http://www.linkedin.com/in/julie-green-5b673092")</f>
        <v/>
      </c>
      <c r="D221" t="inlineStr">
        <is>
          <t>julie@parrs.co.uk</t>
        </is>
      </c>
      <c r="E221" t="inlineStr">
        <is>
          <t>Chief Executive Officer</t>
        </is>
      </c>
      <c r="F221">
        <f>HYPERLINK("https://app.apollo.io/#/people/61014e9a756a0c00017dfd0d")</f>
        <v/>
      </c>
      <c r="G221" t="inlineStr">
        <is>
          <t>PARRS</t>
        </is>
      </c>
      <c r="H221">
        <f>HYPERLINK("https://app.apollo.io/#/organizations/556ddef6736964124b41c201")</f>
        <v/>
      </c>
      <c r="I221">
        <f>HYPERLINK("http://www.parrs.co.uk/")</f>
        <v/>
      </c>
      <c r="J221">
        <f>HYPERLINK("http://www.linkedin.com/company/parrs")</f>
        <v/>
      </c>
      <c r="K221">
        <f>HYPERLINK("https://twitter.com/ParrsWorkplace")</f>
        <v/>
      </c>
      <c r="L221">
        <f>HYPERLINK("https://www.facebook.com/ParrsWorkplace/")</f>
        <v/>
      </c>
      <c r="M221" t="inlineStr">
        <is>
          <t>United Kingdom</t>
        </is>
      </c>
      <c r="N221" t="inlineStr">
        <is>
          <t>24</t>
        </is>
      </c>
      <c r="O221" t="inlineStr">
        <is>
          <t>Commercial Real Estate</t>
        </is>
      </c>
      <c r="P221" t="inlineStr">
        <is>
          <t>cycle racks,shelters</t>
        </is>
      </c>
      <c r="Q221" t="inlineStr">
        <is>
          <t>+441527585777</t>
        </is>
      </c>
    </row>
    <row r="222">
      <c r="A222" t="inlineStr">
        <is>
          <t>62bd63a99544c1000107f7c5</t>
        </is>
      </c>
      <c r="B222" t="inlineStr">
        <is>
          <t>Jonathan Bevan</t>
        </is>
      </c>
      <c r="C222">
        <f>HYPERLINK("http://www.linkedin.com/in/jonathanbevan")</f>
        <v/>
      </c>
      <c r="D222" t="inlineStr">
        <is>
          <t>jonathan.bevan@techspace.co</t>
        </is>
      </c>
      <c r="E222" t="inlineStr">
        <is>
          <t>Chief Executive Officer</t>
        </is>
      </c>
      <c r="F222">
        <f>HYPERLINK("https://app.apollo.io/#/people/62bd63a99544c1000107f7c5")</f>
        <v/>
      </c>
      <c r="G222" t="inlineStr">
        <is>
          <t>Techspace</t>
        </is>
      </c>
      <c r="H222">
        <f>HYPERLINK("https://app.apollo.io/#/organizations/5b873042f874f73a45a5bc8d")</f>
        <v/>
      </c>
      <c r="I222">
        <f>HYPERLINK("http://www.techspace.co/")</f>
        <v/>
      </c>
      <c r="J222">
        <f>HYPERLINK("http://www.linkedin.com/company/techspace-co")</f>
        <v/>
      </c>
      <c r="K222">
        <f>HYPERLINK("https://twitter.com/techspaceco")</f>
        <v/>
      </c>
      <c r="L222">
        <f>HYPERLINK("http://www.facebook.com/techspaceco")</f>
        <v/>
      </c>
      <c r="M222" t="inlineStr">
        <is>
          <t>London, United Kingdom</t>
        </is>
      </c>
      <c r="N222" t="inlineStr">
        <is>
          <t>56</t>
        </is>
      </c>
      <c r="O222" t="inlineStr">
        <is>
          <t>Commercial Real Estate</t>
        </is>
      </c>
      <c r="P222" t="inlineStr">
        <is>
          <t>startups,real estate</t>
        </is>
      </c>
      <c r="Q222" t="inlineStr">
        <is>
          <t>+442030952964</t>
        </is>
      </c>
    </row>
    <row r="223">
      <c r="A223" t="inlineStr">
        <is>
          <t>61193559e740f70001b244dd</t>
        </is>
      </c>
      <c r="B223" t="inlineStr">
        <is>
          <t>Romario Lima</t>
        </is>
      </c>
      <c r="C223">
        <f>HYPERLINK("http://www.linkedin.com/in/romario-lima-7064b8185")</f>
        <v/>
      </c>
      <c r="D223" t="inlineStr">
        <is>
          <t>Not Found</t>
        </is>
      </c>
      <c r="E223" t="inlineStr">
        <is>
          <t>CEO</t>
        </is>
      </c>
      <c r="F223">
        <f>HYPERLINK("https://app.apollo.io/#/people/61193559e740f70001b244dd")</f>
        <v/>
      </c>
      <c r="G223" t="inlineStr">
        <is>
          <t>KARA Group</t>
        </is>
      </c>
      <c r="H223">
        <f>HYPERLINK("https://app.apollo.io/#/organizations/5e580260e983c80001fb6eec")</f>
        <v/>
      </c>
      <c r="I223">
        <f>HYPERLINK("http://www.kiadoiroda.hu/")</f>
        <v/>
      </c>
      <c r="J223">
        <f>HYPERLINK("http://www.linkedin.com/company/kara-group-agency")</f>
        <v/>
      </c>
      <c r="K223">
        <f>HYPERLINK("Not Found")</f>
        <v/>
      </c>
      <c r="L223">
        <f>HYPERLINK("https://www.facebook.com/kiado.irodahazak.karaoffices")</f>
        <v/>
      </c>
      <c r="M223" t="inlineStr">
        <is>
          <t>London, United Kingdom</t>
        </is>
      </c>
      <c r="N223" t="inlineStr">
        <is>
          <t>3</t>
        </is>
      </c>
      <c r="O223" t="inlineStr">
        <is>
          <t>Commercial Real Estate</t>
        </is>
      </c>
      <c r="Q223" t="inlineStr">
        <is>
          <t>Not Found</t>
        </is>
      </c>
    </row>
    <row r="224">
      <c r="A224" t="inlineStr">
        <is>
          <t>606b522f8acacd000157627c</t>
        </is>
      </c>
      <c r="B224" t="inlineStr">
        <is>
          <t>Marcus Ginn</t>
        </is>
      </c>
      <c r="C224">
        <f>HYPERLINK("http://www.linkedin.com/in/marcus-ginn-185284108")</f>
        <v/>
      </c>
      <c r="D224" t="inlineStr">
        <is>
          <t>marcus@edozo.com</t>
        </is>
      </c>
      <c r="E224" t="inlineStr">
        <is>
          <t>Founder &amp; CEO</t>
        </is>
      </c>
      <c r="F224">
        <f>HYPERLINK("https://app.apollo.io/#/people/606b522f8acacd000157627c")</f>
        <v/>
      </c>
      <c r="G224" t="inlineStr">
        <is>
          <t>edozo</t>
        </is>
      </c>
      <c r="H224">
        <f>HYPERLINK("https://app.apollo.io/#/organizations/5569d4d373696425b8e6a100")</f>
        <v/>
      </c>
      <c r="I224">
        <f>HYPERLINK("http://www.edozo.com/")</f>
        <v/>
      </c>
      <c r="J224">
        <f>HYPERLINK("http://www.linkedin.com/company/edozo")</f>
        <v/>
      </c>
      <c r="K224">
        <f>HYPERLINK("https://twitter.com/edozo_uk")</f>
        <v/>
      </c>
      <c r="L224">
        <f>HYPERLINK("https://facebook.com/edozomaps/")</f>
        <v/>
      </c>
      <c r="M224" t="inlineStr">
        <is>
          <t>London, United Kingdom</t>
        </is>
      </c>
      <c r="N224" t="inlineStr">
        <is>
          <t>38</t>
        </is>
      </c>
      <c r="O224" t="inlineStr">
        <is>
          <t>Commercial Real Estate</t>
        </is>
      </c>
      <c r="P224" t="inlineStr">
        <is>
          <t>data,crm,real estate technology</t>
        </is>
      </c>
      <c r="Q224" t="inlineStr">
        <is>
          <t>+442070467803</t>
        </is>
      </c>
    </row>
    <row r="225">
      <c r="A225" t="inlineStr">
        <is>
          <t>6578b8d285cede02cc5c2baa</t>
        </is>
      </c>
      <c r="B225" t="inlineStr">
        <is>
          <t>Faisal Mirza</t>
        </is>
      </c>
      <c r="C225">
        <f>HYPERLINK("http://www.linkedin.com/in/faisalmirza75")</f>
        <v/>
      </c>
      <c r="D225" t="inlineStr">
        <is>
          <t>Not Found</t>
        </is>
      </c>
      <c r="E225" t="inlineStr">
        <is>
          <t>Head of Marketing and Sales</t>
        </is>
      </c>
      <c r="F225">
        <f>HYPERLINK("https://app.apollo.io/#/contacts/6578b8d285cede02cc5c2baa")</f>
        <v/>
      </c>
      <c r="G225" t="inlineStr">
        <is>
          <t>Marina Enclave, Gwadar</t>
        </is>
      </c>
      <c r="H225">
        <f>HYPERLINK("https://app.apollo.io/#/accounts/6578b8d285cede02cc5c2bac")</f>
        <v/>
      </c>
      <c r="I225">
        <f>HYPERLINK("http://www.marinaenclave.pk/")</f>
        <v/>
      </c>
      <c r="J225">
        <f>HYPERLINK("http://www.linkedin.com/company/marina-enclave-gwadar")</f>
        <v/>
      </c>
      <c r="K225">
        <f>HYPERLINK("https://twitter.com/GwadarMarina")</f>
        <v/>
      </c>
      <c r="L225">
        <f>HYPERLINK("https://www.facebook.com/Marina-Enclave-Gwadar-585393725296085/")</f>
        <v/>
      </c>
      <c r="M225" t="inlineStr">
        <is>
          <t>United Kingdom</t>
        </is>
      </c>
      <c r="N225" t="inlineStr">
        <is>
          <t>3</t>
        </is>
      </c>
      <c r="O225" t="inlineStr">
        <is>
          <t>Commercial Real Estate</t>
        </is>
      </c>
      <c r="Q225" t="inlineStr">
        <is>
          <t>+447440619785</t>
        </is>
      </c>
    </row>
    <row r="226">
      <c r="A226" t="inlineStr">
        <is>
          <t>6578b8c085cede01ae5c469f</t>
        </is>
      </c>
      <c r="B226" t="inlineStr">
        <is>
          <t>Rene Fourie</t>
        </is>
      </c>
      <c r="C226">
        <f>HYPERLINK("http://www.linkedin.com/in/rene-fourie-50081486")</f>
        <v/>
      </c>
      <c r="D226" t="inlineStr">
        <is>
          <t>rene@dukelease.com</t>
        </is>
      </c>
      <c r="E226" t="inlineStr">
        <is>
          <t>Head of Sales and Marketing</t>
        </is>
      </c>
      <c r="F226">
        <f>HYPERLINK("https://app.apollo.io/#/contacts/6578b8c085cede01ae5c469f")</f>
        <v/>
      </c>
      <c r="G226" t="inlineStr">
        <is>
          <t>Dukelease Properties</t>
        </is>
      </c>
      <c r="H226">
        <f>HYPERLINK("https://app.apollo.io/#/accounts/6578b8c085cede01ae5c46a1")</f>
        <v/>
      </c>
      <c r="I226">
        <f>HYPERLINK("http://www.dukelease.com/")</f>
        <v/>
      </c>
      <c r="J226">
        <f>HYPERLINK("http://www.linkedin.com/company/dukeleaseproperties")</f>
        <v/>
      </c>
      <c r="K226">
        <f>HYPERLINK("Not Found")</f>
        <v/>
      </c>
      <c r="L226">
        <f>HYPERLINK("Not Found")</f>
        <v/>
      </c>
      <c r="M226" t="inlineStr">
        <is>
          <t>London, United Kingdom</t>
        </is>
      </c>
      <c r="N226" t="inlineStr">
        <is>
          <t>12</t>
        </is>
      </c>
      <c r="O226" t="inlineStr">
        <is>
          <t>Commercial Real Estate</t>
        </is>
      </c>
      <c r="P226" t="inlineStr">
        <is>
          <t>commercial real estate</t>
        </is>
      </c>
      <c r="Q226" t="inlineStr">
        <is>
          <t>+442073181560</t>
        </is>
      </c>
    </row>
    <row r="227">
      <c r="A227" t="inlineStr">
        <is>
          <t>60e58002a6da570001e12b08</t>
        </is>
      </c>
      <c r="B227" t="inlineStr">
        <is>
          <t>Savannah Savary</t>
        </is>
      </c>
      <c r="C227">
        <f>HYPERLINK("http://www.linkedin.com/in/savannahdesavary")</f>
        <v/>
      </c>
      <c r="D227" t="inlineStr">
        <is>
          <t>savannah@built-id.com</t>
        </is>
      </c>
      <c r="E227" t="inlineStr">
        <is>
          <t>Founder and CEO</t>
        </is>
      </c>
      <c r="F227">
        <f>HYPERLINK("https://app.apollo.io/#/people/60e58002a6da570001e12b08")</f>
        <v/>
      </c>
      <c r="G227" t="inlineStr">
        <is>
          <t>Built-ID</t>
        </is>
      </c>
      <c r="H227">
        <f>HYPERLINK("https://app.apollo.io/#/accounts/6578b7347d8cc901ae12dbaf")</f>
        <v/>
      </c>
      <c r="I227">
        <f>HYPERLINK("http://www.built-id.com/")</f>
        <v/>
      </c>
      <c r="J227">
        <f>HYPERLINK("http://www.linkedin.com/company/built-id")</f>
        <v/>
      </c>
      <c r="K227">
        <f>HYPERLINK("https://twitter.com/Built_ID")</f>
        <v/>
      </c>
      <c r="L227">
        <f>HYPERLINK("Not Found")</f>
        <v/>
      </c>
      <c r="M227" t="inlineStr">
        <is>
          <t>London, United Kingdom</t>
        </is>
      </c>
      <c r="N227" t="inlineStr">
        <is>
          <t>11</t>
        </is>
      </c>
      <c r="O227" t="inlineStr">
        <is>
          <t>Commercial Real Estate</t>
        </is>
      </c>
      <c r="P227" t="inlineStr">
        <is>
          <t>commercial real estate</t>
        </is>
      </c>
      <c r="Q227" t="inlineStr">
        <is>
          <t>+447891484018</t>
        </is>
      </c>
    </row>
    <row r="228">
      <c r="A228" t="inlineStr">
        <is>
          <t>60d2baad08f1900001b341ad</t>
        </is>
      </c>
      <c r="B228" t="inlineStr">
        <is>
          <t>Dennis Matse-Orere</t>
        </is>
      </c>
      <c r="C228">
        <f>HYPERLINK("http://www.linkedin.com/in/dennismatseorere")</f>
        <v/>
      </c>
      <c r="D228" t="inlineStr">
        <is>
          <t>dennis@legacypcl.co.uk</t>
        </is>
      </c>
      <c r="E228" t="inlineStr">
        <is>
          <t>CEO/Founder</t>
        </is>
      </c>
      <c r="F228">
        <f>HYPERLINK("https://app.apollo.io/#/people/60d2baad08f1900001b341ad")</f>
        <v/>
      </c>
      <c r="G228" t="inlineStr">
        <is>
          <t>Legacy Property Consultants</t>
        </is>
      </c>
      <c r="H228">
        <f>HYPERLINK("https://app.apollo.io/#/organizations/55f4fe61f3e5bb3bba0005f6")</f>
        <v/>
      </c>
      <c r="I228">
        <f>HYPERLINK("http://www.legacypcl.co.uk/")</f>
        <v/>
      </c>
      <c r="J228">
        <f>HYPERLINK("http://www.linkedin.com/company/legacy-property-consultants")</f>
        <v/>
      </c>
      <c r="K228">
        <f>HYPERLINK("https://twitter.com/LegacyProperty9")</f>
        <v/>
      </c>
      <c r="L228">
        <f>HYPERLINK("https://www.facebook.com/legacypropertyconsultants")</f>
        <v/>
      </c>
      <c r="M228" t="inlineStr">
        <is>
          <t>London, United Kingdom</t>
        </is>
      </c>
      <c r="N228" t="inlineStr">
        <is>
          <t>6</t>
        </is>
      </c>
      <c r="O228" t="inlineStr">
        <is>
          <t>Commercial Real Estate</t>
        </is>
      </c>
      <c r="P228" t="inlineStr">
        <is>
          <t>property management</t>
        </is>
      </c>
      <c r="Q228" t="inlineStr">
        <is>
          <t>+442074332523</t>
        </is>
      </c>
    </row>
    <row r="229">
      <c r="A229" t="inlineStr">
        <is>
          <t>6110d01421a70600018978b7</t>
        </is>
      </c>
      <c r="B229" t="inlineStr">
        <is>
          <t>Lukas Balik</t>
        </is>
      </c>
      <c r="C229">
        <f>HYPERLINK("http://www.linkedin.com/in/lukasbalik")</f>
        <v/>
      </c>
      <c r="D229" t="inlineStr">
        <is>
          <t>lukas.balik@spaceflow.io</t>
        </is>
      </c>
      <c r="E229" t="inlineStr">
        <is>
          <t>Co-Founder, CEO</t>
        </is>
      </c>
      <c r="F229">
        <f>HYPERLINK("https://app.apollo.io/#/people/6110d01421a70600018978b7")</f>
        <v/>
      </c>
      <c r="G229" t="inlineStr">
        <is>
          <t>Spaceflow</t>
        </is>
      </c>
      <c r="H229">
        <f>HYPERLINK("https://app.apollo.io/#/organizations/5a9ef5d8a6da98d93ee14d36")</f>
        <v/>
      </c>
      <c r="I229">
        <f>HYPERLINK("http://www.spaceflow.io/")</f>
        <v/>
      </c>
      <c r="J229">
        <f>HYPERLINK("http://www.linkedin.com/company/spaceflow")</f>
        <v/>
      </c>
      <c r="K229">
        <f>HYPERLINK("https://twitter.com/Spaceflowapp")</f>
        <v/>
      </c>
      <c r="L229">
        <f>HYPERLINK("https://www.facebook.com/spaceflow.io/")</f>
        <v/>
      </c>
      <c r="M229" t="inlineStr">
        <is>
          <t>London, United Kingdom</t>
        </is>
      </c>
      <c r="N229" t="inlineStr">
        <is>
          <t>30</t>
        </is>
      </c>
      <c r="O229" t="inlineStr">
        <is>
          <t>Commercial Real Estate</t>
        </is>
      </c>
      <c r="P229" t="inlineStr">
        <is>
          <t>digital,realestate,technology</t>
        </is>
      </c>
      <c r="Q229" t="inlineStr">
        <is>
          <t>+420722101404</t>
        </is>
      </c>
    </row>
    <row r="230">
      <c r="A230" t="inlineStr">
        <is>
          <t>5ad49199a6da98680640d448</t>
        </is>
      </c>
      <c r="B230" t="inlineStr">
        <is>
          <t>Tom Curtis</t>
        </is>
      </c>
      <c r="C230">
        <f>HYPERLINK("http://www.linkedin.com/in/tom-curtis-32890060")</f>
        <v/>
      </c>
      <c r="D230" t="inlineStr">
        <is>
          <t>Not Found</t>
        </is>
      </c>
      <c r="E230" t="inlineStr">
        <is>
          <t>Co Founder and Co-CEO</t>
        </is>
      </c>
      <c r="F230">
        <f>HYPERLINK("https://app.apollo.io/#/people/5ad49199a6da98680640d448")</f>
        <v/>
      </c>
      <c r="G230" t="inlineStr">
        <is>
          <t>Gravity - Smart Campus</t>
        </is>
      </c>
      <c r="H230">
        <f>HYPERLINK("https://app.apollo.io/#/organizations/5e56158d0d216f0001430f46")</f>
        <v/>
      </c>
      <c r="I230">
        <f>HYPERLINK("http://www.thisisgravity.co.uk/")</f>
        <v/>
      </c>
      <c r="J230">
        <f>HYPERLINK("http://www.linkedin.com/company/thisisgravity")</f>
        <v/>
      </c>
      <c r="K230">
        <f>HYPERLINK("Not Found")</f>
        <v/>
      </c>
      <c r="L230">
        <f>HYPERLINK("Not Found")</f>
        <v/>
      </c>
      <c r="M230" t="inlineStr">
        <is>
          <t>London, United Kingdom</t>
        </is>
      </c>
      <c r="N230" t="inlineStr">
        <is>
          <t>7</t>
        </is>
      </c>
      <c r="O230" t="inlineStr">
        <is>
          <t>Commercial Real Estate</t>
        </is>
      </c>
      <c r="P230" t="inlineStr">
        <is>
          <t>clean growth,business park</t>
        </is>
      </c>
      <c r="Q230" t="inlineStr">
        <is>
          <t>Not Found</t>
        </is>
      </c>
    </row>
    <row r="231">
      <c r="A231" t="inlineStr">
        <is>
          <t>6578b8bc85cede01ae5c4669</t>
        </is>
      </c>
      <c r="B231" t="inlineStr">
        <is>
          <t>Paul Aitchison</t>
        </is>
      </c>
      <c r="C231">
        <f>HYPERLINK("http://www.linkedin.com/in/paul-aitchison-623b9713a")</f>
        <v/>
      </c>
      <c r="D231" t="inlineStr">
        <is>
          <t>paitchison@lrg.co.uk</t>
        </is>
      </c>
      <c r="E231" t="inlineStr">
        <is>
          <t>Chief Financial Officer</t>
        </is>
      </c>
      <c r="F231">
        <f>HYPERLINK("https://app.apollo.io/#/contacts/6578b8bc85cede01ae5c4669")</f>
        <v/>
      </c>
      <c r="G231" t="inlineStr">
        <is>
          <t>Leaders Romans Group</t>
        </is>
      </c>
      <c r="H231">
        <f>HYPERLINK("https://app.apollo.io/#/accounts/6578b8bc85cede01ae5c466b")</f>
        <v/>
      </c>
      <c r="I231">
        <f>HYPERLINK("http://www.lrg.co.uk/")</f>
        <v/>
      </c>
      <c r="J231">
        <f>HYPERLINK("http://www.linkedin.com/company/leaders-romans-group")</f>
        <v/>
      </c>
      <c r="K231">
        <f>HYPERLINK("Not Found")</f>
        <v/>
      </c>
      <c r="L231">
        <f>HYPERLINK("Not Found")</f>
        <v/>
      </c>
      <c r="M231" t="inlineStr">
        <is>
          <t>Weybridge, United Kingdom</t>
        </is>
      </c>
      <c r="N231" t="inlineStr">
        <is>
          <t>2,600</t>
        </is>
      </c>
      <c r="O231" t="inlineStr">
        <is>
          <t>Commercial Real Estate</t>
        </is>
      </c>
      <c r="P231" t="inlineStr">
        <is>
          <t>estate agency,lettings</t>
        </is>
      </c>
      <c r="Q231" t="inlineStr">
        <is>
          <t>+441344758548</t>
        </is>
      </c>
    </row>
    <row r="232">
      <c r="A232" t="inlineStr">
        <is>
          <t>6578aea803912001ae665adb</t>
        </is>
      </c>
      <c r="B232" t="inlineStr">
        <is>
          <t>Kate Green</t>
        </is>
      </c>
      <c r="C232">
        <f>HYPERLINK("http://www.linkedin.com/in/kate-green-5391b824")</f>
        <v/>
      </c>
      <c r="D232" t="inlineStr">
        <is>
          <t>kgreen@gpl-hire.co.uk</t>
        </is>
      </c>
      <c r="E232" t="inlineStr">
        <is>
          <t>Chief Financial Officer</t>
        </is>
      </c>
      <c r="F232">
        <f>HYPERLINK("https://app.apollo.io/#/contacts/6578aea803912001ae665adb")</f>
        <v/>
      </c>
      <c r="G232" t="inlineStr">
        <is>
          <t>Go Plant Fleet Services Ltd</t>
        </is>
      </c>
      <c r="H232">
        <f>HYPERLINK("https://app.apollo.io/#/accounts/6578aea803912001ae665add")</f>
        <v/>
      </c>
      <c r="I232">
        <f>HYPERLINK("http://www.go-plant.co.uk/")</f>
        <v/>
      </c>
      <c r="J232">
        <f>HYPERLINK("http://www.linkedin.com/company/go-plant-fleet-services-ltd")</f>
        <v/>
      </c>
      <c r="K232">
        <f>HYPERLINK("Not Found")</f>
        <v/>
      </c>
      <c r="L232">
        <f>HYPERLINK("https://www.facebook.com/GoPlantFleetServices/")</f>
        <v/>
      </c>
      <c r="M232" t="inlineStr">
        <is>
          <t>England, United Kingdom</t>
        </is>
      </c>
      <c r="N232" t="inlineStr">
        <is>
          <t>220</t>
        </is>
      </c>
      <c r="O232" t="inlineStr">
        <is>
          <t>Commercial Real Estate</t>
        </is>
      </c>
      <c r="P232" t="inlineStr">
        <is>
          <t>fleet management &amp; maintenance</t>
        </is>
      </c>
      <c r="Q232" t="inlineStr">
        <is>
          <t>+447834851880</t>
        </is>
      </c>
    </row>
    <row r="233">
      <c r="A233" t="inlineStr">
        <is>
          <t>6578af9a68c384019647761c</t>
        </is>
      </c>
      <c r="B233" t="inlineStr">
        <is>
          <t>Joel Outmezguine</t>
        </is>
      </c>
      <c r="C233">
        <f>HYPERLINK("http://www.linkedin.com/in/joel-outmezguine-8b31571")</f>
        <v/>
      </c>
      <c r="D233" t="inlineStr">
        <is>
          <t>joel@whitecityib.com</t>
        </is>
      </c>
      <c r="E233" t="inlineStr">
        <is>
          <t>Chief Financial Officer</t>
        </is>
      </c>
      <c r="F233">
        <f>HYPERLINK("https://app.apollo.io/#/contacts/6578af9a68c384019647761c")</f>
        <v/>
      </c>
      <c r="G233" t="inlineStr">
        <is>
          <t>WhiteCity Investments</t>
        </is>
      </c>
      <c r="H233">
        <f>HYPERLINK("https://app.apollo.io/#/accounts/6578af9a68c384019647761e")</f>
        <v/>
      </c>
      <c r="I233">
        <f>HYPERLINK("http://www.whitecityib.com/")</f>
        <v/>
      </c>
      <c r="J233">
        <f>HYPERLINK("http://www.linkedin.com/company/whitecity-investments")</f>
        <v/>
      </c>
      <c r="K233">
        <f>HYPERLINK("Not Found")</f>
        <v/>
      </c>
      <c r="L233">
        <f>HYPERLINK("https://www.facebook.com/whitecityibIsrael")</f>
        <v/>
      </c>
      <c r="M233" t="inlineStr">
        <is>
          <t>West End, United Kingdom</t>
        </is>
      </c>
      <c r="N233" t="inlineStr">
        <is>
          <t>6</t>
        </is>
      </c>
      <c r="O233" t="inlineStr">
        <is>
          <t>Commercial Real Estate</t>
        </is>
      </c>
      <c r="P233" t="inlineStr">
        <is>
          <t>equity investments,residential real estate</t>
        </is>
      </c>
      <c r="Q233" t="inlineStr">
        <is>
          <t>+97235600901</t>
        </is>
      </c>
    </row>
    <row r="234">
      <c r="A234" t="inlineStr">
        <is>
          <t>6578af8c68c38402b6476e02</t>
        </is>
      </c>
      <c r="B234" t="inlineStr">
        <is>
          <t>Kay Sangha</t>
        </is>
      </c>
      <c r="C234">
        <f>HYPERLINK("http://www.linkedin.com/in/kay-sangha-6193722")</f>
        <v/>
      </c>
      <c r="D234" t="inlineStr">
        <is>
          <t>Not Found</t>
        </is>
      </c>
      <c r="E234" t="inlineStr">
        <is>
          <t>Chief Financial Officer</t>
        </is>
      </c>
      <c r="F234">
        <f>HYPERLINK("https://app.apollo.io/#/contacts/6578af8c68c38402b6476e02")</f>
        <v/>
      </c>
      <c r="G234" t="inlineStr">
        <is>
          <t>HARNESS Data Intelligence</t>
        </is>
      </c>
      <c r="H234">
        <f>HYPERLINK("https://app.apollo.io/#/accounts/6578af8c68c38402b6476e04")</f>
        <v/>
      </c>
      <c r="I234">
        <f>HYPERLINK("http://www.harnessdata.ai/")</f>
        <v/>
      </c>
      <c r="J234">
        <f>HYPERLINK("http://www.linkedin.com/company/harnessdata")</f>
        <v/>
      </c>
      <c r="K234">
        <f>HYPERLINK("https://twitter.com/harnessdata")</f>
        <v/>
      </c>
      <c r="L234">
        <f>HYPERLINK("https://www.facebook.com/harnessdata")</f>
        <v/>
      </c>
      <c r="M234" t="inlineStr">
        <is>
          <t>United Kingdom</t>
        </is>
      </c>
      <c r="N234" t="inlineStr">
        <is>
          <t>9</t>
        </is>
      </c>
      <c r="O234" t="inlineStr">
        <is>
          <t>Commercial Real Estate</t>
        </is>
      </c>
      <c r="P234" t="inlineStr">
        <is>
          <t>commercial property</t>
        </is>
      </c>
      <c r="Q234" t="inlineStr">
        <is>
          <t>+447900164617</t>
        </is>
      </c>
    </row>
    <row r="235">
      <c r="A235" t="inlineStr">
        <is>
          <t>6578b7c5eab4cb01aef7c521</t>
        </is>
      </c>
      <c r="B235" t="inlineStr">
        <is>
          <t>Mark Colclough</t>
        </is>
      </c>
      <c r="C235">
        <f>HYPERLINK("http://www.linkedin.com/in/mark-colclough-893b11141")</f>
        <v/>
      </c>
      <c r="D235" t="inlineStr">
        <is>
          <t>mark.colclough@colliers.com</t>
        </is>
      </c>
      <c r="E235" t="inlineStr">
        <is>
          <t>Chief Financial Officer</t>
        </is>
      </c>
      <c r="F235">
        <f>HYPERLINK("https://app.apollo.io/#/contacts/6578b7c5eab4cb01aef7c521")</f>
        <v/>
      </c>
      <c r="G235" t="inlineStr">
        <is>
          <t>Colliers</t>
        </is>
      </c>
      <c r="H235">
        <f>HYPERLINK("https://app.apollo.io/#/accounts/64aaf6c63d556a0001e8eda6")</f>
        <v/>
      </c>
      <c r="I235">
        <f>HYPERLINK("http://www.colliers.com/")</f>
        <v/>
      </c>
      <c r="J235">
        <f>HYPERLINK("http://www.linkedin.com/company/colliers")</f>
        <v/>
      </c>
      <c r="K235">
        <f>HYPERLINK("https://twitter.com/Colliers")</f>
        <v/>
      </c>
      <c r="L235">
        <f>HYPERLINK("https://facebook.com/colliersinternational/")</f>
        <v/>
      </c>
      <c r="M235" t="inlineStr">
        <is>
          <t>Witney, United Kingdom</t>
        </is>
      </c>
      <c r="N235" t="inlineStr">
        <is>
          <t>25,000</t>
        </is>
      </c>
      <c r="O235" t="inlineStr">
        <is>
          <t>Commercial Real Estate</t>
        </is>
      </c>
      <c r="P235" t="inlineStr">
        <is>
          <t>brokerage &amp; agency</t>
        </is>
      </c>
      <c r="Q235" t="inlineStr">
        <is>
          <t>+442073446626</t>
        </is>
      </c>
    </row>
    <row r="236">
      <c r="A236" t="inlineStr">
        <is>
          <t>6578b86a75dc3a02ccc995c6</t>
        </is>
      </c>
      <c r="B236" t="inlineStr">
        <is>
          <t>Vanessa Simms</t>
        </is>
      </c>
      <c r="C236">
        <f>HYPERLINK("http://www.linkedin.com/in/vanessa-simms-6009138")</f>
        <v/>
      </c>
      <c r="D236" t="inlineStr">
        <is>
          <t>Not Found</t>
        </is>
      </c>
      <c r="E236" t="inlineStr">
        <is>
          <t>Chief Financial Officer</t>
        </is>
      </c>
      <c r="F236">
        <f>HYPERLINK("https://app.apollo.io/#/contacts/6578b86a75dc3a02ccc995c6")</f>
        <v/>
      </c>
      <c r="G236" t="inlineStr">
        <is>
          <t>Landsec</t>
        </is>
      </c>
      <c r="H236">
        <f>HYPERLINK("https://app.apollo.io/#/accounts/6578b86a75dc3a02ccc995c8")</f>
        <v/>
      </c>
      <c r="I236">
        <f>HYPERLINK("http://www.landsec.com/")</f>
        <v/>
      </c>
      <c r="J236">
        <f>HYPERLINK("http://www.linkedin.com/company/landsec")</f>
        <v/>
      </c>
      <c r="K236">
        <f>HYPERLINK("https://twitter.com/landsecgroup?lang=en")</f>
        <v/>
      </c>
      <c r="L236">
        <f>HYPERLINK("https://facebook.com/pages/category/Real-Estate-Company/Landsec-Group-335042077050643/")</f>
        <v/>
      </c>
      <c r="M236" t="inlineStr">
        <is>
          <t>Guildford, United Kingdom</t>
        </is>
      </c>
      <c r="N236" t="inlineStr">
        <is>
          <t>860</t>
        </is>
      </c>
      <c r="O236" t="inlineStr">
        <is>
          <t>Commercial Real Estate</t>
        </is>
      </c>
      <c r="P236" t="inlineStr">
        <is>
          <t>property investment</t>
        </is>
      </c>
      <c r="Q236" t="inlineStr">
        <is>
          <t>+447525679807</t>
        </is>
      </c>
    </row>
    <row r="237">
      <c r="A237" t="inlineStr">
        <is>
          <t>6578b685326fa101ae8df74b</t>
        </is>
      </c>
      <c r="B237" t="inlineStr">
        <is>
          <t>Craig N.</t>
        </is>
      </c>
      <c r="C237">
        <f>HYPERLINK("http://www.linkedin.com/in/craignunn")</f>
        <v/>
      </c>
      <c r="D237" t="inlineStr">
        <is>
          <t>cnunn@landmarkspace.co.uk</t>
        </is>
      </c>
      <c r="E237" t="inlineStr">
        <is>
          <t>Chief Financial Officer</t>
        </is>
      </c>
      <c r="F237">
        <f>HYPERLINK("https://app.apollo.io/#/contacts/6578b685326fa101ae8df74b")</f>
        <v/>
      </c>
      <c r="G237" t="inlineStr">
        <is>
          <t>Landmark</t>
        </is>
      </c>
      <c r="H237">
        <f>HYPERLINK("https://app.apollo.io/#/accounts/6578b685326fa101ae8df74d")</f>
        <v/>
      </c>
      <c r="I237">
        <f>HYPERLINK("http://www.landmarkspace.co.uk/")</f>
        <v/>
      </c>
      <c r="J237">
        <f>HYPERLINK("http://www.linkedin.com/company/landmarkspace")</f>
        <v/>
      </c>
      <c r="K237">
        <f>HYPERLINK("https://twitter.com/landmark_space")</f>
        <v/>
      </c>
      <c r="L237">
        <f>HYPERLINK("https://www.facebook.com/landmarkspace")</f>
        <v/>
      </c>
      <c r="M237" t="inlineStr">
        <is>
          <t>London, United Kingdom</t>
        </is>
      </c>
      <c r="N237" t="inlineStr">
        <is>
          <t>460</t>
        </is>
      </c>
      <c r="O237" t="inlineStr">
        <is>
          <t>Commercial Real Estate</t>
        </is>
      </c>
      <c r="P237" t="inlineStr">
        <is>
          <t>virtual office,meeting rooms</t>
        </is>
      </c>
      <c r="Q237" t="inlineStr">
        <is>
          <t>+442034405000</t>
        </is>
      </c>
    </row>
    <row r="238">
      <c r="A238" t="inlineStr">
        <is>
          <t>6578b7347d8cc901ae12dbad</t>
        </is>
      </c>
      <c r="B238" t="inlineStr">
        <is>
          <t>Claire Lewis</t>
        </is>
      </c>
      <c r="C238">
        <f>HYPERLINK("http://www.linkedin.com/in/claire-lewis-fcca-ba-hons-2728b142")</f>
        <v/>
      </c>
      <c r="D238" t="inlineStr">
        <is>
          <t>Not Found</t>
        </is>
      </c>
      <c r="E238" t="inlineStr">
        <is>
          <t>Chief Financial Officer</t>
        </is>
      </c>
      <c r="F238">
        <f>HYPERLINK("https://app.apollo.io/#/contacts/6578b7347d8cc901ae12dbad")</f>
        <v/>
      </c>
      <c r="G238" t="inlineStr">
        <is>
          <t>Built-ID</t>
        </is>
      </c>
      <c r="H238">
        <f>HYPERLINK("https://app.apollo.io/#/accounts/6578b7347d8cc901ae12dbaf")</f>
        <v/>
      </c>
      <c r="I238">
        <f>HYPERLINK("http://www.built-id.com/")</f>
        <v/>
      </c>
      <c r="J238">
        <f>HYPERLINK("http://www.linkedin.com/company/built-id")</f>
        <v/>
      </c>
      <c r="K238">
        <f>HYPERLINK("https://twitter.com/Built_ID")</f>
        <v/>
      </c>
      <c r="L238">
        <f>HYPERLINK("Not Found")</f>
        <v/>
      </c>
      <c r="M238" t="inlineStr">
        <is>
          <t>Gloucester, United Kingdom</t>
        </is>
      </c>
      <c r="N238" t="inlineStr">
        <is>
          <t>11</t>
        </is>
      </c>
      <c r="O238" t="inlineStr">
        <is>
          <t>Commercial Real Estate</t>
        </is>
      </c>
      <c r="P238" t="inlineStr">
        <is>
          <t>commercial real estate</t>
        </is>
      </c>
      <c r="Q238" t="inlineStr">
        <is>
          <t>+447794930862</t>
        </is>
      </c>
    </row>
    <row r="239">
      <c r="A239" t="inlineStr">
        <is>
          <t>5ad664bfa6da98680963a921</t>
        </is>
      </c>
      <c r="B239" t="inlineStr">
        <is>
          <t>David Howarth</t>
        </is>
      </c>
      <c r="C239">
        <f>HYPERLINK("http://www.linkedin.com/in/david-howarth-9059a6b2")</f>
        <v/>
      </c>
      <c r="D239" t="inlineStr">
        <is>
          <t>dh@orplexltd.co.uk</t>
        </is>
      </c>
      <c r="E239" t="inlineStr">
        <is>
          <t>Partner /Owner</t>
        </is>
      </c>
      <c r="F239">
        <f>HYPERLINK("https://app.apollo.io/#/people/5ad664bfa6da98680963a921")</f>
        <v/>
      </c>
      <c r="G239" t="inlineStr">
        <is>
          <t>Stone House Properties</t>
        </is>
      </c>
      <c r="H239">
        <f>HYPERLINK("https://app.apollo.io/#/organizations/5cb75775a3ae61caea43919f")</f>
        <v/>
      </c>
      <c r="I239">
        <f>HYPERLINK("http://www.stonehouseproperties.com/")</f>
        <v/>
      </c>
      <c r="J239">
        <f>HYPERLINK("http://www.linkedin.com/company/stone-house-properties")</f>
        <v/>
      </c>
      <c r="K239">
        <f>HYPERLINK("https://twitter.com/suzannecrerar")</f>
        <v/>
      </c>
      <c r="L239">
        <f>HYPERLINK("https://facebook.com/pages/Stone-House-Properties-LLC/304687475979")</f>
        <v/>
      </c>
      <c r="M239" t="inlineStr">
        <is>
          <t>Bury, United Kingdom</t>
        </is>
      </c>
      <c r="N239" t="inlineStr">
        <is>
          <t>26</t>
        </is>
      </c>
      <c r="O239" t="inlineStr">
        <is>
          <t>Commercial Real Estate</t>
        </is>
      </c>
      <c r="P239" t="inlineStr">
        <is>
          <t>commercial real estate</t>
        </is>
      </c>
      <c r="Q239" t="inlineStr">
        <is>
          <t>(413)-298-4777</t>
        </is>
      </c>
    </row>
    <row r="240">
      <c r="A240" t="inlineStr">
        <is>
          <t>57d8b4c9a6da98728af69112</t>
        </is>
      </c>
      <c r="B240" t="inlineStr">
        <is>
          <t>Iryna Ignatyeva</t>
        </is>
      </c>
      <c r="C240">
        <f>HYPERLINK("http://www.linkedin.com/in/iryna-ignatyeva-970577b")</f>
        <v/>
      </c>
      <c r="D240" t="inlineStr">
        <is>
          <t>iryna@buyrentcommercial.com</t>
        </is>
      </c>
      <c r="E240" t="inlineStr">
        <is>
          <t>Founder/Owner</t>
        </is>
      </c>
      <c r="F240">
        <f>HYPERLINK("https://app.apollo.io/#/people/57d8b4c9a6da98728af69112")</f>
        <v/>
      </c>
      <c r="G240" t="inlineStr">
        <is>
          <t>Buyrentcommercial.com</t>
        </is>
      </c>
      <c r="H240">
        <f>HYPERLINK("https://app.apollo.io/#/organizations/6413e6659796370001238ecd")</f>
        <v/>
      </c>
      <c r="I240">
        <f>HYPERLINK("http://www.buyrentcommercial.com/")</f>
        <v/>
      </c>
      <c r="J240">
        <f>HYPERLINK("http://www.linkedin.com/company/buyrentcommercial-com")</f>
        <v/>
      </c>
      <c r="K240">
        <f>HYPERLINK("Not Found")</f>
        <v/>
      </c>
      <c r="L240">
        <f>HYPERLINK("Not Found")</f>
        <v/>
      </c>
      <c r="M240" t="inlineStr">
        <is>
          <t>Bristol, United Kingdom</t>
        </is>
      </c>
      <c r="N240" t="inlineStr">
        <is>
          <t>2</t>
        </is>
      </c>
      <c r="O240" t="inlineStr">
        <is>
          <t>Commercial Real Estate</t>
        </is>
      </c>
      <c r="P240" t="inlineStr">
        <is>
          <t>commercial real estate</t>
        </is>
      </c>
      <c r="Q240" t="inlineStr">
        <is>
          <t>+442039003337</t>
        </is>
      </c>
    </row>
    <row r="241">
      <c r="A241" t="inlineStr">
        <is>
          <t>54a2886a7468693cdd7bf629</t>
        </is>
      </c>
      <c r="B241" t="inlineStr">
        <is>
          <t>Rishi Khurana</t>
        </is>
      </c>
      <c r="C241">
        <f>HYPERLINK("http://www.linkedin.com/in/rishi-khurana-3a680b48")</f>
        <v/>
      </c>
      <c r="D241" t="inlineStr">
        <is>
          <t>Not Found</t>
        </is>
      </c>
      <c r="E241" t="inlineStr">
        <is>
          <t>Co-Founder &amp; Managing Partner</t>
        </is>
      </c>
      <c r="F241">
        <f>HYPERLINK("https://app.apollo.io/#/people/54a2886a7468693cdd7bf629")</f>
        <v/>
      </c>
      <c r="G241" t="inlineStr">
        <is>
          <t>Osborne+Co Investment Management</t>
        </is>
      </c>
      <c r="H241">
        <f>HYPERLINK("https://app.apollo.io/#/organizations/5f7b553e99b9f700f66be52d")</f>
        <v/>
      </c>
      <c r="I241">
        <f>HYPERLINK("Not Found")</f>
        <v/>
      </c>
      <c r="J241">
        <f>HYPERLINK("http://www.linkedin.com/company/osborne-co-investment-management")</f>
        <v/>
      </c>
      <c r="K241">
        <f>HYPERLINK("Not Found")</f>
        <v/>
      </c>
      <c r="L241">
        <f>HYPERLINK("Not Found")</f>
        <v/>
      </c>
      <c r="M241" t="inlineStr">
        <is>
          <t>London, United Kingdom</t>
        </is>
      </c>
      <c r="N241" t="inlineStr">
        <is>
          <t>4</t>
        </is>
      </c>
      <c r="O241" t="inlineStr">
        <is>
          <t>Commercial Real Estate</t>
        </is>
      </c>
      <c r="P241" t="inlineStr">
        <is>
          <t>commercial real estate</t>
        </is>
      </c>
      <c r="Q241" t="inlineStr">
        <is>
          <t>Not Found</t>
        </is>
      </c>
    </row>
    <row r="242">
      <c r="A242" t="inlineStr">
        <is>
          <t>60cb10bb0cff6e0001de6ac1</t>
        </is>
      </c>
      <c r="B242" t="inlineStr">
        <is>
          <t>Stephen Shorter</t>
        </is>
      </c>
      <c r="C242">
        <f>HYPERLINK("http://www.linkedin.com/in/stephen-shorter-765a2a34")</f>
        <v/>
      </c>
      <c r="D242" t="inlineStr">
        <is>
          <t>sshorter@cobaltrecruitment.com</t>
        </is>
      </c>
      <c r="E242" t="inlineStr">
        <is>
          <t>Group CEO</t>
        </is>
      </c>
      <c r="F242">
        <f>HYPERLINK("https://app.apollo.io/#/people/60cb10bb0cff6e0001de6ac1")</f>
        <v/>
      </c>
      <c r="G242" t="inlineStr">
        <is>
          <t>Cobalt Recruitment</t>
        </is>
      </c>
      <c r="H242">
        <f>HYPERLINK("https://app.apollo.io/#/organizations/5a9dc414a6da98d935677824")</f>
        <v/>
      </c>
      <c r="I242">
        <f>HYPERLINK("http://www.cobaltrecruitment.co.uk/")</f>
        <v/>
      </c>
      <c r="J242">
        <f>HYPERLINK("http://www.linkedin.com/company/cobalt-recruitment")</f>
        <v/>
      </c>
      <c r="K242">
        <f>HYPERLINK("https://twitter.com/CobaltRecruit")</f>
        <v/>
      </c>
      <c r="L242">
        <f>HYPERLINK("https://www.facebook.com/cobaltrecruitment/")</f>
        <v/>
      </c>
      <c r="M242" t="inlineStr">
        <is>
          <t>Stromness, United Kingdom</t>
        </is>
      </c>
      <c r="N242" t="inlineStr">
        <is>
          <t>130</t>
        </is>
      </c>
      <c r="O242" t="inlineStr">
        <is>
          <t>Commercial Real Estate</t>
        </is>
      </c>
      <c r="P242" t="inlineStr">
        <is>
          <t>accounting,real estate</t>
        </is>
      </c>
      <c r="Q242" t="inlineStr">
        <is>
          <t>+442074782500</t>
        </is>
      </c>
    </row>
    <row r="243">
      <c r="A243" t="inlineStr">
        <is>
          <t>6578baa06a983e03f8ae827d</t>
        </is>
      </c>
      <c r="B243" t="inlineStr">
        <is>
          <t>Colin Wills</t>
        </is>
      </c>
      <c r="C243">
        <f>HYPERLINK("http://www.linkedin.com/in/colin-wills-86674817b")</f>
        <v/>
      </c>
      <c r="D243" t="inlineStr">
        <is>
          <t>colin.w@4dml.com</t>
        </is>
      </c>
      <c r="E243" t="inlineStr">
        <is>
          <t>Chief Executive Officer</t>
        </is>
      </c>
      <c r="F243">
        <f>HYPERLINK("https://app.apollo.io/#/contacts/6578baa06a983e03f8ae827d")</f>
        <v/>
      </c>
      <c r="G243" t="inlineStr">
        <is>
          <t>4D Monitoring</t>
        </is>
      </c>
      <c r="H243">
        <f>HYPERLINK("https://app.apollo.io/#/accounts/6578baa06a983e03f8ae827f")</f>
        <v/>
      </c>
      <c r="I243">
        <f>HYPERLINK("http://www.4dmonitoring.co.uk/")</f>
        <v/>
      </c>
      <c r="J243">
        <f>HYPERLINK("http://www.linkedin.com/company/4d-monitoring")</f>
        <v/>
      </c>
      <c r="K243">
        <f>HYPERLINK("Not Found")</f>
        <v/>
      </c>
      <c r="L243">
        <f>HYPERLINK("Not Found")</f>
        <v/>
      </c>
      <c r="M243" t="inlineStr">
        <is>
          <t>Cambridge, United Kingdom</t>
        </is>
      </c>
      <c r="N243" t="inlineStr">
        <is>
          <t>6</t>
        </is>
      </c>
      <c r="O243" t="inlineStr">
        <is>
          <t>Commercial Real Estate</t>
        </is>
      </c>
      <c r="P243" t="inlineStr">
        <is>
          <t>building environment management</t>
        </is>
      </c>
      <c r="Q243" t="inlineStr">
        <is>
          <t>+441480484999</t>
        </is>
      </c>
    </row>
    <row r="244">
      <c r="A244" t="inlineStr">
        <is>
          <t>6578bc3df8c62e01aef7c2bd</t>
        </is>
      </c>
      <c r="B244" t="inlineStr">
        <is>
          <t>Jonathan Bevan</t>
        </is>
      </c>
      <c r="C244">
        <f>HYPERLINK("http://www.linkedin.com/in/jonathanbevan")</f>
        <v/>
      </c>
      <c r="D244" t="inlineStr">
        <is>
          <t>Not Found</t>
        </is>
      </c>
      <c r="E244" t="inlineStr">
        <is>
          <t>Chief Executive Officer</t>
        </is>
      </c>
      <c r="F244">
        <f>HYPERLINK("https://app.apollo.io/#/contacts/6578bc3df8c62e01aef7c2bd")</f>
        <v/>
      </c>
      <c r="G244" t="inlineStr">
        <is>
          <t>Techspace</t>
        </is>
      </c>
      <c r="H244">
        <f>HYPERLINK("https://app.apollo.io/#/accounts/6578bc3df8c62e01aef7c2bf")</f>
        <v/>
      </c>
      <c r="I244">
        <f>HYPERLINK("http://www.techspace.co/")</f>
        <v/>
      </c>
      <c r="J244">
        <f>HYPERLINK("http://www.linkedin.com/company/techspace-co")</f>
        <v/>
      </c>
      <c r="K244">
        <f>HYPERLINK("https://twitter.com/techspaceco")</f>
        <v/>
      </c>
      <c r="L244">
        <f>HYPERLINK("http://www.facebook.com/techspaceco")</f>
        <v/>
      </c>
      <c r="M244" t="inlineStr">
        <is>
          <t>London, United Kingdom</t>
        </is>
      </c>
      <c r="N244" t="inlineStr">
        <is>
          <t>56</t>
        </is>
      </c>
      <c r="O244" t="inlineStr">
        <is>
          <t>Commercial Real Estate</t>
        </is>
      </c>
      <c r="P244" t="inlineStr">
        <is>
          <t>startups,real estate</t>
        </is>
      </c>
      <c r="Q244" t="inlineStr">
        <is>
          <t>+441483718801</t>
        </is>
      </c>
    </row>
    <row r="245">
      <c r="A245" t="inlineStr">
        <is>
          <t>6578b8d685cede01ae5c47ac</t>
        </is>
      </c>
      <c r="B245" t="inlineStr">
        <is>
          <t>Mark Greig</t>
        </is>
      </c>
      <c r="C245">
        <f>HYPERLINK("http://www.linkedin.com/in/mgreig")</f>
        <v/>
      </c>
      <c r="D245" t="inlineStr">
        <is>
          <t>markg@paramount-properties.co.uk</t>
        </is>
      </c>
      <c r="E245" t="inlineStr">
        <is>
          <t>CEO</t>
        </is>
      </c>
      <c r="F245">
        <f>HYPERLINK("https://app.apollo.io/#/contacts/6578b8d685cede01ae5c47ac")</f>
        <v/>
      </c>
      <c r="G245" t="inlineStr">
        <is>
          <t>Paramount Properties</t>
        </is>
      </c>
      <c r="H245">
        <f>HYPERLINK("https://app.apollo.io/#/accounts/6578b8d685cede01ae5c47ae")</f>
        <v/>
      </c>
      <c r="I245">
        <f>HYPERLINK("http://www.paramount-properties.co.uk/")</f>
        <v/>
      </c>
      <c r="J245">
        <f>HYPERLINK("http://www.linkedin.com/company/paramount-group-of-companies")</f>
        <v/>
      </c>
      <c r="K245">
        <f>HYPERLINK("https://twitter.com/paramountldn")</f>
        <v/>
      </c>
      <c r="L245">
        <f>HYPERLINK("https://www.facebook.com/paramountpropertieslondon")</f>
        <v/>
      </c>
      <c r="M245" t="inlineStr">
        <is>
          <t>London, United Kingdom</t>
        </is>
      </c>
      <c r="N245" t="inlineStr">
        <is>
          <t>69</t>
        </is>
      </c>
      <c r="O245" t="inlineStr">
        <is>
          <t>Commercial Real Estate</t>
        </is>
      </c>
      <c r="P245" t="inlineStr">
        <is>
          <t>residential lettings,investment properties</t>
        </is>
      </c>
      <c r="Q245" t="inlineStr">
        <is>
          <t>+442076442332</t>
        </is>
      </c>
    </row>
    <row r="246">
      <c r="A246" t="inlineStr">
        <is>
          <t>6578b8cd85cede02cc5c2b9b</t>
        </is>
      </c>
      <c r="B246" t="inlineStr">
        <is>
          <t>Ed</t>
        </is>
      </c>
      <c r="C246">
        <f>HYPERLINK("http://www.linkedin.com/in/ed-c-7489884")</f>
        <v/>
      </c>
      <c r="D246" t="inlineStr">
        <is>
          <t>ecowell@landmarkspace.co.uk</t>
        </is>
      </c>
      <c r="E246" t="inlineStr">
        <is>
          <t>Chief Executive Officer</t>
        </is>
      </c>
      <c r="F246">
        <f>HYPERLINK("https://app.apollo.io/#/contacts/6578b8cd85cede02cc5c2b9b")</f>
        <v/>
      </c>
      <c r="G246" t="inlineStr">
        <is>
          <t>Landmark</t>
        </is>
      </c>
      <c r="H246">
        <f>HYPERLINK("https://app.apollo.io/#/accounts/6578b685326fa101ae8df74d")</f>
        <v/>
      </c>
      <c r="I246">
        <f>HYPERLINK("http://www.landmarkspace.co.uk/")</f>
        <v/>
      </c>
      <c r="J246">
        <f>HYPERLINK("http://www.linkedin.com/company/landmarkspace")</f>
        <v/>
      </c>
      <c r="K246">
        <f>HYPERLINK("https://twitter.com/landmark_space")</f>
        <v/>
      </c>
      <c r="L246">
        <f>HYPERLINK("https://www.facebook.com/landmarkspace")</f>
        <v/>
      </c>
      <c r="M246" t="inlineStr">
        <is>
          <t>Chipping Norton, United Kingdom</t>
        </is>
      </c>
      <c r="N246" t="inlineStr">
        <is>
          <t>460</t>
        </is>
      </c>
      <c r="O246" t="inlineStr">
        <is>
          <t>Commercial Real Estate</t>
        </is>
      </c>
      <c r="P246" t="inlineStr">
        <is>
          <t>virtual office,meeting rooms</t>
        </is>
      </c>
      <c r="Q246" t="inlineStr">
        <is>
          <t>+447827950997</t>
        </is>
      </c>
    </row>
    <row r="247">
      <c r="A247" t="inlineStr">
        <is>
          <t>6578bb6a6a983e01aeaed4c7</t>
        </is>
      </c>
      <c r="B247" t="inlineStr">
        <is>
          <t>Paul Onwuanibe</t>
        </is>
      </c>
      <c r="C247">
        <f>HYPERLINK("http://www.linkedin.com/in/paul-onwuanibe")</f>
        <v/>
      </c>
      <c r="D247" t="inlineStr">
        <is>
          <t>paul@landmark-offices.com</t>
        </is>
      </c>
      <c r="E247" t="inlineStr">
        <is>
          <t>CEO</t>
        </is>
      </c>
      <c r="F247">
        <f>HYPERLINK("https://app.apollo.io/#/contacts/6578bb6a6a983e01aeaed4c7")</f>
        <v/>
      </c>
      <c r="G247" t="inlineStr">
        <is>
          <t>Landmark Africa</t>
        </is>
      </c>
      <c r="H247">
        <f>HYPERLINK("https://app.apollo.io/#/accounts/6578bb6b6a983e01aeaed4c9")</f>
        <v/>
      </c>
      <c r="I247">
        <f>HYPERLINK("http://www.landmarkafrica.com/")</f>
        <v/>
      </c>
      <c r="J247">
        <f>HYPERLINK("http://www.linkedin.com/company/landmarkafrica")</f>
        <v/>
      </c>
      <c r="K247">
        <f>HYPERLINK("https://twitter.com/landmarkafrica")</f>
        <v/>
      </c>
      <c r="L247">
        <f>HYPERLINK("https://www.facebook.com/Landmarkoffices")</f>
        <v/>
      </c>
      <c r="M247" t="inlineStr">
        <is>
          <t>London, United Kingdom</t>
        </is>
      </c>
      <c r="N247" t="inlineStr">
        <is>
          <t>140</t>
        </is>
      </c>
      <c r="O247" t="inlineStr">
        <is>
          <t>Commercial Real Estate</t>
        </is>
      </c>
      <c r="P247" t="inlineStr">
        <is>
          <t>services,virtual office</t>
        </is>
      </c>
      <c r="Q247" t="inlineStr">
        <is>
          <t>+447703220098</t>
        </is>
      </c>
    </row>
    <row r="248">
      <c r="A248" t="inlineStr">
        <is>
          <t>6578b8c485cede02cc5c2b4f</t>
        </is>
      </c>
      <c r="B248" t="inlineStr">
        <is>
          <t>Adam Landau</t>
        </is>
      </c>
      <c r="C248">
        <f>HYPERLINK("http://www.linkedin.com/in/adam-landau-5929ab1b")</f>
        <v/>
      </c>
      <c r="D248" t="inlineStr">
        <is>
          <t>adam.landau@oneadv.co.uk</t>
        </is>
      </c>
      <c r="E248" t="inlineStr">
        <is>
          <t>CEO</t>
        </is>
      </c>
      <c r="F248">
        <f>HYPERLINK("https://app.apollo.io/#/contacts/6578b8c485cede02cc5c2b4f")</f>
        <v/>
      </c>
      <c r="G248" t="inlineStr">
        <is>
          <t>One One One</t>
        </is>
      </c>
      <c r="H248">
        <f>HYPERLINK("https://app.apollo.io/#/accounts/6578b8c485cede02cc5c2b51")</f>
        <v/>
      </c>
      <c r="I248">
        <f>HYPERLINK("http://www.oneadv.co.uk/")</f>
        <v/>
      </c>
      <c r="J248">
        <f>HYPERLINK("http://www.linkedin.com/company/one-one-one")</f>
        <v/>
      </c>
      <c r="K248">
        <f>HYPERLINK("https://twitter.com/_the_ones")</f>
        <v/>
      </c>
      <c r="L248">
        <f>HYPERLINK("Not Found")</f>
        <v/>
      </c>
      <c r="M248" t="inlineStr">
        <is>
          <t>London, United Kingdom</t>
        </is>
      </c>
      <c r="N248" t="inlineStr">
        <is>
          <t>3</t>
        </is>
      </c>
      <c r="O248" t="inlineStr">
        <is>
          <t>Commercial Real Estate</t>
        </is>
      </c>
      <c r="P248" t="inlineStr">
        <is>
          <t>consulting,commercial real estate</t>
        </is>
      </c>
      <c r="Q248" t="inlineStr">
        <is>
          <t>+442079238620</t>
        </is>
      </c>
    </row>
    <row r="249">
      <c r="A249" t="inlineStr">
        <is>
          <t>6578b8da85cede03e95c1040</t>
        </is>
      </c>
      <c r="B249" t="inlineStr">
        <is>
          <t>Ian Goodwin</t>
        </is>
      </c>
      <c r="C249">
        <f>HYPERLINK("http://www.linkedin.com/in/ian-goodwin-60b31911")</f>
        <v/>
      </c>
      <c r="D249" t="inlineStr">
        <is>
          <t>ian.goodwin@welbeck.co.uk</t>
        </is>
      </c>
      <c r="E249" t="inlineStr">
        <is>
          <t>Chief Executive Officer</t>
        </is>
      </c>
      <c r="F249">
        <f>HYPERLINK("https://app.apollo.io/#/contacts/6578b8da85cede03e95c1040")</f>
        <v/>
      </c>
      <c r="G249" t="inlineStr">
        <is>
          <t>The Welbeck Estates Company Limited</t>
        </is>
      </c>
      <c r="H249">
        <f>HYPERLINK("https://app.apollo.io/#/accounts/6578b8da85cede03e95c1042")</f>
        <v/>
      </c>
      <c r="I249">
        <f>HYPERLINK("http://www.welbeck.co.uk/")</f>
        <v/>
      </c>
      <c r="J249">
        <f>HYPERLINK("http://www.linkedin.com/company/the-welbeck-estates-company-limited")</f>
        <v/>
      </c>
      <c r="K249">
        <f>HYPERLINK("https://www.twitter.com/welbeckestate")</f>
        <v/>
      </c>
      <c r="L249">
        <f>HYPERLINK("https://www.facebook.com/WelbeckCourtyard/")</f>
        <v/>
      </c>
      <c r="M249" t="inlineStr">
        <is>
          <t>Milton Keynes, United Kingdom</t>
        </is>
      </c>
      <c r="N249" t="inlineStr">
        <is>
          <t>41</t>
        </is>
      </c>
      <c r="O249" t="inlineStr">
        <is>
          <t>Commercial Real Estate</t>
        </is>
      </c>
      <c r="Q249" t="inlineStr">
        <is>
          <t>+441909512539</t>
        </is>
      </c>
    </row>
    <row r="250">
      <c r="A250" t="inlineStr">
        <is>
          <t>60d37dbe2fc2e1000188435a</t>
        </is>
      </c>
      <c r="B250" t="inlineStr">
        <is>
          <t>Matt Dyke</t>
        </is>
      </c>
      <c r="C250">
        <f>HYPERLINK("http://www.linkedin.com/in/matt-dyke-91527648")</f>
        <v/>
      </c>
      <c r="D250" t="inlineStr">
        <is>
          <t>Not Found</t>
        </is>
      </c>
      <c r="E250" t="inlineStr">
        <is>
          <t>Head of Sales</t>
        </is>
      </c>
      <c r="F250">
        <f>HYPERLINK("https://app.apollo.io/#/people/60d37dbe2fc2e1000188435a")</f>
        <v/>
      </c>
      <c r="G250" t="inlineStr">
        <is>
          <t>Dawsongroup</t>
        </is>
      </c>
      <c r="H250">
        <f>HYPERLINK("https://app.apollo.io/#/organizations/6058888c24f3e700a4f128f0")</f>
        <v/>
      </c>
      <c r="I250">
        <f>HYPERLINK("Not Found")</f>
        <v/>
      </c>
      <c r="J250">
        <f>HYPERLINK("http://www.linkedin.com/company/dawsongroup-plc")</f>
        <v/>
      </c>
      <c r="K250">
        <f>HYPERLINK("https://twitter.com/dawsongroupplc")</f>
        <v/>
      </c>
      <c r="L250">
        <f>HYPERLINK("Not Found")</f>
        <v/>
      </c>
      <c r="M250" t="inlineStr">
        <is>
          <t>Sheffield, United Kingdom</t>
        </is>
      </c>
      <c r="N250" t="inlineStr">
        <is>
          <t>390</t>
        </is>
      </c>
      <c r="O250" t="inlineStr">
        <is>
          <t>Commercial Real Estate</t>
        </is>
      </c>
      <c r="P250" t="inlineStr">
        <is>
          <t>asset management,rental</t>
        </is>
      </c>
      <c r="Q250" t="inlineStr">
        <is>
          <t>+441908218111</t>
        </is>
      </c>
    </row>
    <row r="251">
      <c r="A251" t="inlineStr">
        <is>
          <t>6578bc2bf8c62e01aef7c24d</t>
        </is>
      </c>
      <c r="B251" t="inlineStr">
        <is>
          <t>Iliya Blazic</t>
        </is>
      </c>
      <c r="C251">
        <f>HYPERLINK("http://www.linkedin.com/in/iliya-blazic-03917326")</f>
        <v/>
      </c>
      <c r="D251" t="inlineStr">
        <is>
          <t>Not Found</t>
        </is>
      </c>
      <c r="E251" t="inlineStr">
        <is>
          <t>Chief Executive Officer</t>
        </is>
      </c>
      <c r="F251">
        <f>HYPERLINK("https://app.apollo.io/#/contacts/6578bc2bf8c62e01aef7c24d")</f>
        <v/>
      </c>
      <c r="G251" t="inlineStr">
        <is>
          <t>Goodstone Living</t>
        </is>
      </c>
      <c r="H251">
        <f>HYPERLINK("https://app.apollo.io/#/accounts/6578bc2bf8c62e01aef7c24f")</f>
        <v/>
      </c>
      <c r="I251">
        <f>HYPERLINK("http://www.goodstoneliving.com/")</f>
        <v/>
      </c>
      <c r="J251">
        <f>HYPERLINK("http://www.linkedin.com/company/goodstone-living")</f>
        <v/>
      </c>
      <c r="K251">
        <f>HYPERLINK("https://twitter.com/GoodstoneLiving")</f>
        <v/>
      </c>
      <c r="L251">
        <f>HYPERLINK("Not Found")</f>
        <v/>
      </c>
      <c r="M251" t="inlineStr">
        <is>
          <t>London, United Kingdom</t>
        </is>
      </c>
      <c r="N251" t="inlineStr">
        <is>
          <t>17</t>
        </is>
      </c>
      <c r="O251" t="inlineStr">
        <is>
          <t>Commercial Real Estate</t>
        </is>
      </c>
      <c r="Q251" t="inlineStr">
        <is>
          <t>+447823344595</t>
        </is>
      </c>
    </row>
    <row r="252">
      <c r="A252" t="inlineStr">
        <is>
          <t>6578bc34f8c62e02d0f7c26d</t>
        </is>
      </c>
      <c r="B252" t="inlineStr">
        <is>
          <t>Julie Green</t>
        </is>
      </c>
      <c r="C252">
        <f>HYPERLINK("http://www.linkedin.com/in/julie-green-5b673092")</f>
        <v/>
      </c>
      <c r="D252" t="inlineStr">
        <is>
          <t>Not Found</t>
        </is>
      </c>
      <c r="E252" t="inlineStr">
        <is>
          <t>Chief Executive Officer</t>
        </is>
      </c>
      <c r="F252">
        <f>HYPERLINK("https://app.apollo.io/#/contacts/6578bc34f8c62e02d0f7c26d")</f>
        <v/>
      </c>
      <c r="G252" t="inlineStr">
        <is>
          <t>PARRS</t>
        </is>
      </c>
      <c r="H252">
        <f>HYPERLINK("https://app.apollo.io/#/accounts/6578bc34f8c62e02d0f7c26f")</f>
        <v/>
      </c>
      <c r="I252">
        <f>HYPERLINK("http://www.parrs.co.uk/")</f>
        <v/>
      </c>
      <c r="J252">
        <f>HYPERLINK("http://www.linkedin.com/company/parrs")</f>
        <v/>
      </c>
      <c r="K252">
        <f>HYPERLINK("https://twitter.com/ParrsWorkplace")</f>
        <v/>
      </c>
      <c r="L252">
        <f>HYPERLINK("https://www.facebook.com/ParrsWorkplace/")</f>
        <v/>
      </c>
      <c r="M252" t="inlineStr">
        <is>
          <t>United Kingdom</t>
        </is>
      </c>
      <c r="N252" t="inlineStr">
        <is>
          <t>24</t>
        </is>
      </c>
      <c r="O252" t="inlineStr">
        <is>
          <t>Commercial Real Estate</t>
        </is>
      </c>
      <c r="P252" t="inlineStr">
        <is>
          <t>cycle racks,shelters</t>
        </is>
      </c>
      <c r="Q252" t="inlineStr">
        <is>
          <t>+441527585777</t>
        </is>
      </c>
    </row>
    <row r="253">
      <c r="A253" t="inlineStr">
        <is>
          <t>6578bc45f8c62e01aef7c318</t>
        </is>
      </c>
      <c r="B253" t="inlineStr">
        <is>
          <t>Romario Lima</t>
        </is>
      </c>
      <c r="C253">
        <f>HYPERLINK("http://www.linkedin.com/in/romario-lima-7064b8185")</f>
        <v/>
      </c>
      <c r="D253" t="inlineStr">
        <is>
          <t>Not Found</t>
        </is>
      </c>
      <c r="E253" t="inlineStr">
        <is>
          <t>CEO</t>
        </is>
      </c>
      <c r="F253">
        <f>HYPERLINK("https://app.apollo.io/#/contacts/6578bc45f8c62e01aef7c318")</f>
        <v/>
      </c>
      <c r="G253" t="inlineStr">
        <is>
          <t>KARA Group</t>
        </is>
      </c>
      <c r="H253">
        <f>HYPERLINK("https://app.apollo.io/#/accounts/6578bc45f8c62e01aef7c319")</f>
        <v/>
      </c>
      <c r="I253">
        <f>HYPERLINK("http://www.kiadoiroda.hu/")</f>
        <v/>
      </c>
      <c r="J253">
        <f>HYPERLINK("http://www.linkedin.com/company/kara-group-agency")</f>
        <v/>
      </c>
      <c r="K253">
        <f>HYPERLINK("Not Found")</f>
        <v/>
      </c>
      <c r="L253">
        <f>HYPERLINK("https://www.facebook.com/kiado.irodahazak.karaoffices")</f>
        <v/>
      </c>
      <c r="M253" t="inlineStr">
        <is>
          <t>London, United Kingdom</t>
        </is>
      </c>
      <c r="N253" t="inlineStr">
        <is>
          <t>3</t>
        </is>
      </c>
      <c r="O253" t="inlineStr">
        <is>
          <t>Commercial Real Estate</t>
        </is>
      </c>
      <c r="Q253" t="inlineStr">
        <is>
          <t>Not Found</t>
        </is>
      </c>
    </row>
    <row r="254">
      <c r="A254" t="inlineStr">
        <is>
          <t>60eff6f11ae90c000136085f</t>
        </is>
      </c>
      <c r="B254" t="inlineStr">
        <is>
          <t>Zak Veasey</t>
        </is>
      </c>
      <c r="C254">
        <f>HYPERLINK("http://www.linkedin.com/in/zak-veasey-0b115819")</f>
        <v/>
      </c>
      <c r="D254" t="inlineStr">
        <is>
          <t>Not Found</t>
        </is>
      </c>
      <c r="E254" t="inlineStr">
        <is>
          <t>Co-founder and Director</t>
        </is>
      </c>
      <c r="F254">
        <f>HYPERLINK("https://app.apollo.io/#/people/60eff6f11ae90c000136085f")</f>
        <v/>
      </c>
      <c r="G254" t="inlineStr">
        <is>
          <t>V7</t>
        </is>
      </c>
      <c r="H254">
        <f>HYPERLINK("https://app.apollo.io/#/organizations/55f5adedf3e5bb2571001ef3")</f>
        <v/>
      </c>
      <c r="I254">
        <f>HYPERLINK("http://www.v7am.com/")</f>
        <v/>
      </c>
      <c r="J254">
        <f>HYPERLINK("http://www.linkedin.com/company/v7am")</f>
        <v/>
      </c>
      <c r="K254">
        <f>HYPERLINK("Not Found")</f>
        <v/>
      </c>
      <c r="L254">
        <f>HYPERLINK("Not Found")</f>
        <v/>
      </c>
      <c r="M254" t="inlineStr">
        <is>
          <t>London, United Kingdom</t>
        </is>
      </c>
      <c r="N254" t="inlineStr">
        <is>
          <t>24</t>
        </is>
      </c>
      <c r="O254" t="inlineStr">
        <is>
          <t>Commercial Real Estate</t>
        </is>
      </c>
      <c r="P254" t="inlineStr">
        <is>
          <t>commercial property asset management</t>
        </is>
      </c>
      <c r="Q254" t="inlineStr">
        <is>
          <t>Not Found</t>
        </is>
      </c>
    </row>
    <row r="255">
      <c r="A255" t="inlineStr">
        <is>
          <t>54a3f4917468693b8c465320</t>
        </is>
      </c>
      <c r="B255" t="inlineStr">
        <is>
          <t>David Hemming</t>
        </is>
      </c>
      <c r="C255">
        <f>HYPERLINK("http://www.linkedin.com/in/david-hemming-96441817")</f>
        <v/>
      </c>
      <c r="D255" t="inlineStr">
        <is>
          <t>david.hemming@burleybrowne.co.uk</t>
        </is>
      </c>
      <c r="E255" t="inlineStr">
        <is>
          <t>Director / Owner</t>
        </is>
      </c>
      <c r="F255">
        <f>HYPERLINK("https://app.apollo.io/#/people/54a3f4917468693b8c465320")</f>
        <v/>
      </c>
      <c r="G255" t="inlineStr">
        <is>
          <t>Burley Browne Chartered Surveyors</t>
        </is>
      </c>
      <c r="H255">
        <f>HYPERLINK("https://app.apollo.io/#/organizations/55f7a8fcf3e5bb3bd5001da6")</f>
        <v/>
      </c>
      <c r="I255">
        <f>HYPERLINK("http://www.burleybrowne.co.uk/")</f>
        <v/>
      </c>
      <c r="J255">
        <f>HYPERLINK("http://www.linkedin.com/company/burley-browne-chartered-surveyors")</f>
        <v/>
      </c>
      <c r="K255">
        <f>HYPERLINK("https://twitter.com/BurleyBrowne")</f>
        <v/>
      </c>
      <c r="L255">
        <f>HYPERLINK("https://www.facebook.com/BurleyBrowne")</f>
        <v/>
      </c>
      <c r="M255" t="inlineStr">
        <is>
          <t>Sutton Coldfield, United Kingdom</t>
        </is>
      </c>
      <c r="N255" t="inlineStr">
        <is>
          <t>11</t>
        </is>
      </c>
      <c r="O255" t="inlineStr">
        <is>
          <t>Commercial Real Estate</t>
        </is>
      </c>
      <c r="P255" t="inlineStr">
        <is>
          <t>commercial property sales &amp; lettings</t>
        </is>
      </c>
      <c r="Q255" t="inlineStr">
        <is>
          <t>+441213213441</t>
        </is>
      </c>
    </row>
    <row r="256">
      <c r="A256" t="inlineStr">
        <is>
          <t>60c7302ccdaf050001193b32</t>
        </is>
      </c>
      <c r="B256" t="inlineStr">
        <is>
          <t>Nicola Brown</t>
        </is>
      </c>
      <c r="C256">
        <f>HYPERLINK("http://www.linkedin.com/in/nicolajbrown")</f>
        <v/>
      </c>
      <c r="D256" t="inlineStr">
        <is>
          <t>nicola.brown@welbeck.co.uk</t>
        </is>
      </c>
      <c r="E256" t="inlineStr">
        <is>
          <t>Head of Marketing and Communications</t>
        </is>
      </c>
      <c r="F256">
        <f>HYPERLINK("https://app.apollo.io/#/people/60c7302ccdaf050001193b32")</f>
        <v/>
      </c>
      <c r="G256" t="inlineStr">
        <is>
          <t>The Welbeck Estates Company Limited</t>
        </is>
      </c>
      <c r="H256">
        <f>HYPERLINK("https://app.apollo.io/#/accounts/6578b8da85cede03e95c1042")</f>
        <v/>
      </c>
      <c r="I256">
        <f>HYPERLINK("http://www.welbeck.co.uk/")</f>
        <v/>
      </c>
      <c r="J256">
        <f>HYPERLINK("http://www.linkedin.com/company/the-welbeck-estates-company-limited")</f>
        <v/>
      </c>
      <c r="K256">
        <f>HYPERLINK("https://www.twitter.com/welbeckestate")</f>
        <v/>
      </c>
      <c r="L256">
        <f>HYPERLINK("https://www.facebook.com/WelbeckCourtyard/")</f>
        <v/>
      </c>
      <c r="M256" t="inlineStr">
        <is>
          <t>England, United Kingdom</t>
        </is>
      </c>
      <c r="N256" t="inlineStr">
        <is>
          <t>41</t>
        </is>
      </c>
      <c r="O256" t="inlineStr">
        <is>
          <t>Commercial Real Estate</t>
        </is>
      </c>
      <c r="Q256" t="inlineStr">
        <is>
          <t>+441909500211</t>
        </is>
      </c>
    </row>
    <row r="257">
      <c r="A257" t="inlineStr">
        <is>
          <t>57d59ce1a6da9853765e6002</t>
        </is>
      </c>
      <c r="B257" t="inlineStr">
        <is>
          <t>Rob Wildblood</t>
        </is>
      </c>
      <c r="C257">
        <f>HYPERLINK("http://www.linkedin.com/in/rob-wildblood-a5597b83")</f>
        <v/>
      </c>
      <c r="D257" t="inlineStr">
        <is>
          <t>rob@montroseproperties.co.uk</t>
        </is>
      </c>
      <c r="E257" t="inlineStr">
        <is>
          <t>Owner/Director</t>
        </is>
      </c>
      <c r="F257">
        <f>HYPERLINK("https://app.apollo.io/#/people/57d59ce1a6da9853765e6002")</f>
        <v/>
      </c>
      <c r="G257" t="inlineStr">
        <is>
          <t>MONTROSE PROPERTIES LIMITED</t>
        </is>
      </c>
      <c r="H257">
        <f>HYPERLINK("https://app.apollo.io/#/organizations/556da02d7369641226715401")</f>
        <v/>
      </c>
      <c r="I257">
        <f>HYPERLINK("http://www.montroseproperties.co.uk/")</f>
        <v/>
      </c>
      <c r="J257">
        <f>HYPERLINK("http://www.linkedin.com/company/montrose-properties-limited")</f>
        <v/>
      </c>
      <c r="K257">
        <f>HYPERLINK("Not Found")</f>
        <v/>
      </c>
      <c r="L257">
        <f>HYPERLINK("Not Found")</f>
        <v/>
      </c>
      <c r="M257" t="inlineStr">
        <is>
          <t>Manchester, United Kingdom</t>
        </is>
      </c>
      <c r="N257" t="inlineStr">
        <is>
          <t>6</t>
        </is>
      </c>
      <c r="O257" t="inlineStr">
        <is>
          <t>Commercial Real Estate</t>
        </is>
      </c>
      <c r="Q257" t="inlineStr">
        <is>
          <t>+441614457000</t>
        </is>
      </c>
    </row>
    <row r="258">
      <c r="A258" t="inlineStr">
        <is>
          <t>57d6f2c1a6da986b054641b8</t>
        </is>
      </c>
      <c r="B258" t="inlineStr">
        <is>
          <t>David Goldie</t>
        </is>
      </c>
      <c r="C258">
        <f>HYPERLINK("http://www.linkedin.com/in/davidgoldieonlinemarketer")</f>
        <v/>
      </c>
      <c r="D258" t="inlineStr">
        <is>
          <t>dgoldie@lrg.co.uk</t>
        </is>
      </c>
      <c r="E258" t="inlineStr">
        <is>
          <t>Head Of Digital Marketing</t>
        </is>
      </c>
      <c r="F258">
        <f>HYPERLINK("https://app.apollo.io/#/people/57d6f2c1a6da986b054641b8")</f>
        <v/>
      </c>
      <c r="G258" t="inlineStr">
        <is>
          <t>Leaders Romans Group</t>
        </is>
      </c>
      <c r="H258">
        <f>HYPERLINK("https://app.apollo.io/#/accounts/6578b8bc85cede01ae5c466b")</f>
        <v/>
      </c>
      <c r="I258">
        <f>HYPERLINK("http://www.lrg.co.uk/")</f>
        <v/>
      </c>
      <c r="J258">
        <f>HYPERLINK("http://www.linkedin.com/company/leaders-romans-group")</f>
        <v/>
      </c>
      <c r="K258">
        <f>HYPERLINK("Not Found")</f>
        <v/>
      </c>
      <c r="L258">
        <f>HYPERLINK("Not Found")</f>
        <v/>
      </c>
      <c r="M258" t="inlineStr">
        <is>
          <t>Fauldhouse, United Kingdom</t>
        </is>
      </c>
      <c r="N258" t="inlineStr">
        <is>
          <t>2,600</t>
        </is>
      </c>
      <c r="O258" t="inlineStr">
        <is>
          <t>Commercial Real Estate</t>
        </is>
      </c>
      <c r="P258" t="inlineStr">
        <is>
          <t>estate agency,lettings,property investment</t>
        </is>
      </c>
      <c r="Q258" t="inlineStr">
        <is>
          <t>+441344753230</t>
        </is>
      </c>
    </row>
    <row r="259">
      <c r="A259" t="inlineStr">
        <is>
          <t>6108026ac150fd0001f053cb</t>
        </is>
      </c>
      <c r="B259" t="inlineStr">
        <is>
          <t>Nicholas Morgan</t>
        </is>
      </c>
      <c r="C259">
        <f>HYPERLINK("http://www.linkedin.com/in/nicholas-morgan-283a00155")</f>
        <v/>
      </c>
      <c r="D259" t="inlineStr">
        <is>
          <t>nmorgan@quoradevelopments.co.uk</t>
        </is>
      </c>
      <c r="E259" t="inlineStr">
        <is>
          <t>Owner / Director</t>
        </is>
      </c>
      <c r="F259">
        <f>HYPERLINK("https://app.apollo.io/#/people/6108026ac150fd0001f053cb")</f>
        <v/>
      </c>
      <c r="G259" t="inlineStr">
        <is>
          <t>QUORA LIMITED</t>
        </is>
      </c>
      <c r="H259">
        <f>HYPERLINK("https://app.apollo.io/#/organizations/55923ffc73696418ae02f400")</f>
        <v/>
      </c>
      <c r="I259">
        <f>HYPERLINK("http://www.quoradevelopments.com/")</f>
        <v/>
      </c>
      <c r="J259">
        <f>HYPERLINK("http://www.linkedin.com/company/quora-limited")</f>
        <v/>
      </c>
      <c r="K259">
        <f>HYPERLINK("Not Found")</f>
        <v/>
      </c>
      <c r="L259">
        <f>HYPERLINK("Not Found")</f>
        <v/>
      </c>
      <c r="M259" t="inlineStr">
        <is>
          <t>England, United Kingdom</t>
        </is>
      </c>
      <c r="N259" t="inlineStr">
        <is>
          <t>3</t>
        </is>
      </c>
      <c r="O259" t="inlineStr">
        <is>
          <t>Commercial Real Estate</t>
        </is>
      </c>
      <c r="Q259" t="inlineStr">
        <is>
          <t>+441636671272</t>
        </is>
      </c>
    </row>
    <row r="260">
      <c r="A260" t="inlineStr">
        <is>
          <t>60649b4d43196400010c4914</t>
        </is>
      </c>
      <c r="B260" t="inlineStr">
        <is>
          <t>Adam Smith</t>
        </is>
      </c>
      <c r="C260">
        <f>HYPERLINK("http://www.linkedin.com/in/adam-smith-1662962b")</f>
        <v/>
      </c>
      <c r="D260" t="inlineStr">
        <is>
          <t>adsmith@lrg.co.uk</t>
        </is>
      </c>
      <c r="E260" t="inlineStr">
        <is>
          <t>Group Head of Marketing</t>
        </is>
      </c>
      <c r="F260">
        <f>HYPERLINK("https://app.apollo.io/#/people/60649b4d43196400010c4914")</f>
        <v/>
      </c>
      <c r="G260" t="inlineStr">
        <is>
          <t>Leaders Romans Group</t>
        </is>
      </c>
      <c r="H260">
        <f>HYPERLINK("https://app.apollo.io/#/accounts/6578b8bc85cede01ae5c466b")</f>
        <v/>
      </c>
      <c r="I260">
        <f>HYPERLINK("http://www.lrg.co.uk/")</f>
        <v/>
      </c>
      <c r="J260">
        <f>HYPERLINK("http://www.linkedin.com/company/leaders-romans-group")</f>
        <v/>
      </c>
      <c r="K260">
        <f>HYPERLINK("Not Found")</f>
        <v/>
      </c>
      <c r="L260">
        <f>HYPERLINK("Not Found")</f>
        <v/>
      </c>
      <c r="M260" t="inlineStr">
        <is>
          <t>Bromley, United Kingdom</t>
        </is>
      </c>
      <c r="N260" t="inlineStr">
        <is>
          <t>2,600</t>
        </is>
      </c>
      <c r="O260" t="inlineStr">
        <is>
          <t>Commercial Real Estate</t>
        </is>
      </c>
      <c r="P260" t="inlineStr">
        <is>
          <t>estate agency,lettings,property investment</t>
        </is>
      </c>
      <c r="Q260" t="inlineStr">
        <is>
          <t>+441344753230</t>
        </is>
      </c>
    </row>
    <row r="261">
      <c r="A261" t="inlineStr">
        <is>
          <t>5e88d23ccbe2280001726af6</t>
        </is>
      </c>
      <c r="B261" t="inlineStr">
        <is>
          <t>Laura Knight</t>
        </is>
      </c>
      <c r="C261">
        <f>HYPERLINK("http://www.linkedin.com/in/laura-knight-47823468")</f>
        <v/>
      </c>
      <c r="D261" t="inlineStr">
        <is>
          <t>lknight@plproperty.com</t>
        </is>
      </c>
      <c r="E261" t="inlineStr">
        <is>
          <t>Head of Marketing and Communications</t>
        </is>
      </c>
      <c r="F261">
        <f>HYPERLINK("https://app.apollo.io/#/people/5e88d23ccbe2280001726af6")</f>
        <v/>
      </c>
      <c r="G261" t="inlineStr">
        <is>
          <t>PLP</t>
        </is>
      </c>
      <c r="H261">
        <f>HYPERLINK("https://app.apollo.io/#/organizations/5da2d91d43321a0001b17256")</f>
        <v/>
      </c>
      <c r="I261">
        <f>HYPERLINK("http://www.plproperty.com/")</f>
        <v/>
      </c>
      <c r="J261">
        <f>HYPERLINK("http://www.linkedin.com/company/plproperty")</f>
        <v/>
      </c>
      <c r="K261">
        <f>HYPERLINK("https://twitter.com/PLPropUK")</f>
        <v/>
      </c>
      <c r="L261">
        <f>HYPERLINK("Not Found")</f>
        <v/>
      </c>
      <c r="M261" t="inlineStr">
        <is>
          <t>London, United Kingdom</t>
        </is>
      </c>
      <c r="N261" t="inlineStr">
        <is>
          <t>50</t>
        </is>
      </c>
      <c r="O261" t="inlineStr">
        <is>
          <t>Commercial Real Estate</t>
        </is>
      </c>
      <c r="P261" t="inlineStr">
        <is>
          <t>logistics &amp; industrial real estate,commercial developer</t>
        </is>
      </c>
      <c r="Q261" t="inlineStr">
        <is>
          <t>+442036871070</t>
        </is>
      </c>
    </row>
    <row r="262">
      <c r="A262" t="inlineStr">
        <is>
          <t>63a58d10e809f800014c5c2b</t>
        </is>
      </c>
      <c r="B262" t="inlineStr">
        <is>
          <t>Kathy Whitehouse</t>
        </is>
      </c>
      <c r="C262">
        <f>HYPERLINK("http://www.linkedin.com/in/kathy-whitehouse-23baa46b")</f>
        <v/>
      </c>
      <c r="D262" t="inlineStr">
        <is>
          <t>kathy.whitehouse@landsec.com</t>
        </is>
      </c>
      <c r="E262" t="inlineStr">
        <is>
          <t>PA to CEO</t>
        </is>
      </c>
      <c r="F262">
        <f>HYPERLINK("https://app.apollo.io/#/people/63a58d10e809f800014c5c2b")</f>
        <v/>
      </c>
      <c r="G262" t="inlineStr">
        <is>
          <t>Landsec</t>
        </is>
      </c>
      <c r="H262">
        <f>HYPERLINK("https://app.apollo.io/#/accounts/6578b86a75dc3a02ccc995c8")</f>
        <v/>
      </c>
      <c r="I262">
        <f>HYPERLINK("http://www.landsec.com/")</f>
        <v/>
      </c>
      <c r="J262">
        <f>HYPERLINK("http://www.linkedin.com/company/landsec")</f>
        <v/>
      </c>
      <c r="K262">
        <f>HYPERLINK("https://twitter.com/landsecgroup?lang=en")</f>
        <v/>
      </c>
      <c r="L262">
        <f>HYPERLINK("https://facebook.com/pages/category/Real-Estate-Company/Landsec-Group-335042077050643/")</f>
        <v/>
      </c>
      <c r="M262" t="inlineStr">
        <is>
          <t>England, United Kingdom</t>
        </is>
      </c>
      <c r="N262" t="inlineStr">
        <is>
          <t>860</t>
        </is>
      </c>
      <c r="O262" t="inlineStr">
        <is>
          <t>Commercial Real Estate</t>
        </is>
      </c>
      <c r="P262" t="inlineStr">
        <is>
          <t>property investment,management &amp; development</t>
        </is>
      </c>
      <c r="Q262" t="inlineStr">
        <is>
          <t>+442074139000</t>
        </is>
      </c>
    </row>
    <row r="263">
      <c r="A263" t="inlineStr">
        <is>
          <t>57d44134a6da9853c6d04daa</t>
        </is>
      </c>
      <c r="B263" t="inlineStr">
        <is>
          <t>Caitlin McLean</t>
        </is>
      </c>
      <c r="C263">
        <f>HYPERLINK("http://www.linkedin.com/in/caitlinmclean1")</f>
        <v/>
      </c>
      <c r="D263" t="inlineStr">
        <is>
          <t>cmclean@hfdgroup.com</t>
        </is>
      </c>
      <c r="E263" t="inlineStr">
        <is>
          <t>Personal Assistant</t>
        </is>
      </c>
      <c r="F263">
        <f>HYPERLINK("https://app.apollo.io/#/people/57d44134a6da9853c6d04daa")</f>
        <v/>
      </c>
      <c r="G263" t="inlineStr">
        <is>
          <t>HFD Group</t>
        </is>
      </c>
      <c r="H263">
        <f>HYPERLINK("https://app.apollo.io/#/organizations/61aa5189ac197b00dad759ad")</f>
        <v/>
      </c>
      <c r="I263">
        <f>HYPERLINK("http://www.hfdgroup.com/")</f>
        <v/>
      </c>
      <c r="J263">
        <f>HYPERLINK("http://www.linkedin.com/company/hfd-group")</f>
        <v/>
      </c>
      <c r="K263">
        <f>HYPERLINK("Not Found")</f>
        <v/>
      </c>
      <c r="L263">
        <f>HYPERLINK("Not Found")</f>
        <v/>
      </c>
      <c r="M263" t="inlineStr">
        <is>
          <t>Glasgow, United Kingdom</t>
        </is>
      </c>
      <c r="N263" t="inlineStr">
        <is>
          <t>55</t>
        </is>
      </c>
      <c r="O263" t="inlineStr">
        <is>
          <t>Commercial Real Estate</t>
        </is>
      </c>
      <c r="P263" t="inlineStr">
        <is>
          <t>commercial property investment,commercial property development</t>
        </is>
      </c>
      <c r="Q263" t="inlineStr">
        <is>
          <t>+441698503600</t>
        </is>
      </c>
    </row>
    <row r="264">
      <c r="A264" t="inlineStr">
        <is>
          <t>6251a938a77e5200016ae6a9</t>
        </is>
      </c>
      <c r="B264" t="inlineStr">
        <is>
          <t>Jenny Picking</t>
        </is>
      </c>
      <c r="C264">
        <f>HYPERLINK("http://www.linkedin.com/in/jenny-picking-8a8a3622")</f>
        <v/>
      </c>
      <c r="D264" t="inlineStr">
        <is>
          <t>jenny.picking@okt.co.uk</t>
        </is>
      </c>
      <c r="E264" t="inlineStr">
        <is>
          <t>Head of Marketing and Media</t>
        </is>
      </c>
      <c r="F264">
        <f>HYPERLINK("https://app.apollo.io/#/people/6251a938a77e5200016ae6a9")</f>
        <v/>
      </c>
      <c r="G264" t="inlineStr">
        <is>
          <t>OKT (O'Connor Kennedy Turtle)</t>
        </is>
      </c>
      <c r="H264">
        <f>HYPERLINK("https://app.apollo.io/#/organizations/556d789873696411c1102201")</f>
        <v/>
      </c>
      <c r="I264">
        <f>HYPERLINK("http://www.okt.co.uk/")</f>
        <v/>
      </c>
      <c r="J264">
        <f>HYPERLINK("http://www.linkedin.com/company/okt-o'connor-kennedy-turtle-")</f>
        <v/>
      </c>
      <c r="K264">
        <f>HYPERLINK("https://www.twitter.com/OKTBelfast")</f>
        <v/>
      </c>
      <c r="L264">
        <f>HYPERLINK("https://facebook.com/pages/OKT-OConnor-Kennedy-Turtle/1417342818482903")</f>
        <v/>
      </c>
      <c r="M264" t="inlineStr">
        <is>
          <t>Belfast, United Kingdom</t>
        </is>
      </c>
      <c r="N264" t="inlineStr">
        <is>
          <t>8</t>
        </is>
      </c>
      <c r="O264" t="inlineStr">
        <is>
          <t>Commercial Real Estate</t>
        </is>
      </c>
      <c r="P264" t="inlineStr">
        <is>
          <t>commercial property,agency,valuation</t>
        </is>
      </c>
      <c r="Q264" t="inlineStr">
        <is>
          <t>+442890248181</t>
        </is>
      </c>
    </row>
    <row r="265">
      <c r="A265" t="inlineStr">
        <is>
          <t>60cb3cb7f5bfda0001aacee1</t>
        </is>
      </c>
      <c r="B265" t="inlineStr">
        <is>
          <t>Tony Horrell</t>
        </is>
      </c>
      <c r="C265">
        <f>HYPERLINK("http://www.linkedin.com/in/tony-horrell-b776a552")</f>
        <v/>
      </c>
      <c r="D265" t="inlineStr">
        <is>
          <t>tony.horrell@colliers.com</t>
        </is>
      </c>
      <c r="E265" t="inlineStr">
        <is>
          <t>Chief Executive Officer | UK and Ireland</t>
        </is>
      </c>
      <c r="F265">
        <f>HYPERLINK("https://app.apollo.io/#/people/60cb3cb7f5bfda0001aacee1")</f>
        <v/>
      </c>
      <c r="G265" t="inlineStr">
        <is>
          <t>Colliers</t>
        </is>
      </c>
      <c r="H265">
        <f>HYPERLINK("https://app.apollo.io/#/accounts/64aaf6c63d556a0001e8eda6")</f>
        <v/>
      </c>
      <c r="I265">
        <f>HYPERLINK("http://www.colliers.com/")</f>
        <v/>
      </c>
      <c r="J265">
        <f>HYPERLINK("http://www.linkedin.com/company/colliers")</f>
        <v/>
      </c>
      <c r="K265">
        <f>HYPERLINK("https://twitter.com/Colliers")</f>
        <v/>
      </c>
      <c r="L265">
        <f>HYPERLINK("https://facebook.com/colliersinternational/")</f>
        <v/>
      </c>
      <c r="M265" t="inlineStr">
        <is>
          <t>London, United Kingdom</t>
        </is>
      </c>
      <c r="N265" t="inlineStr">
        <is>
          <t>25,000</t>
        </is>
      </c>
      <c r="O265" t="inlineStr">
        <is>
          <t>Commercial Real Estate</t>
        </is>
      </c>
      <c r="P265" t="inlineStr">
        <is>
          <t>brokerage &amp; agency,corporate solutions</t>
        </is>
      </c>
      <c r="Q265" t="inlineStr">
        <is>
          <t>(702)-727-3783</t>
        </is>
      </c>
    </row>
    <row r="266">
      <c r="A266" t="inlineStr">
        <is>
          <t>61091806c86d8500012622ab</t>
        </is>
      </c>
      <c r="B266" t="inlineStr">
        <is>
          <t>Alexa-Maria Barker</t>
        </is>
      </c>
      <c r="C266">
        <f>HYPERLINK("http://www.linkedin.com/in/alexa-maria-rathbone-barker-935a9217")</f>
        <v/>
      </c>
      <c r="D266" t="inlineStr">
        <is>
          <t>abarker@costar.co.uk</t>
        </is>
      </c>
      <c r="E266" t="inlineStr">
        <is>
          <t>European Head Of Sales</t>
        </is>
      </c>
      <c r="F266">
        <f>HYPERLINK("https://app.apollo.io/#/people/61091806c86d8500012622ab")</f>
        <v/>
      </c>
      <c r="G266" t="inlineStr">
        <is>
          <t>CoStar Group</t>
        </is>
      </c>
      <c r="H266">
        <f>HYPERLINK("https://app.apollo.io/#/organizations/5ed2cb5c198f050001401441")</f>
        <v/>
      </c>
      <c r="I266">
        <f>HYPERLINK("http://www.costargroup.com/")</f>
        <v/>
      </c>
      <c r="J266">
        <f>HYPERLINK("http://www.linkedin.com/company/costar-group")</f>
        <v/>
      </c>
      <c r="K266">
        <f>HYPERLINK("http://twitter.com/TheCoStarGroup")</f>
        <v/>
      </c>
      <c r="L266">
        <f>HYPERLINK("http://www.facebook.com/CoStarGroup")</f>
        <v/>
      </c>
      <c r="M266" t="inlineStr">
        <is>
          <t>London, United Kingdom</t>
        </is>
      </c>
      <c r="N266" t="inlineStr">
        <is>
          <t>6,300</t>
        </is>
      </c>
      <c r="O266" t="inlineStr">
        <is>
          <t>Commercial Real Estate</t>
        </is>
      </c>
      <c r="P266" t="inlineStr">
        <is>
          <t>information technology,research,marketing</t>
        </is>
      </c>
      <c r="Q266" t="inlineStr">
        <is>
          <t>(202)-346-6500</t>
        </is>
      </c>
    </row>
    <row r="267">
      <c r="A267" t="inlineStr">
        <is>
          <t>626a3cbe4e20ea00019dbabe</t>
        </is>
      </c>
      <c r="B267" t="inlineStr">
        <is>
          <t>Paul Johnston</t>
        </is>
      </c>
      <c r="C267">
        <f>HYPERLINK("http://www.linkedin.com/in/paul-johnston-99917438")</f>
        <v/>
      </c>
      <c r="D267" t="inlineStr">
        <is>
          <t>pjohnston@lrg.co.uk</t>
        </is>
      </c>
      <c r="E267" t="inlineStr">
        <is>
          <t>Head Of Corporate Sales</t>
        </is>
      </c>
      <c r="F267">
        <f>HYPERLINK("https://app.apollo.io/#/people/626a3cbe4e20ea00019dbabe")</f>
        <v/>
      </c>
      <c r="G267" t="inlineStr">
        <is>
          <t>Leaders Romans Group</t>
        </is>
      </c>
      <c r="H267">
        <f>HYPERLINK("https://app.apollo.io/#/accounts/6578b8bc85cede01ae5c466b")</f>
        <v/>
      </c>
      <c r="I267">
        <f>HYPERLINK("http://www.lrg.co.uk/")</f>
        <v/>
      </c>
      <c r="J267">
        <f>HYPERLINK("http://www.linkedin.com/company/leaders-romans-group")</f>
        <v/>
      </c>
      <c r="K267">
        <f>HYPERLINK("Not Found")</f>
        <v/>
      </c>
      <c r="L267">
        <f>HYPERLINK("Not Found")</f>
        <v/>
      </c>
      <c r="M267" t="inlineStr">
        <is>
          <t>Wokingham, United Kingdom</t>
        </is>
      </c>
      <c r="N267" t="inlineStr">
        <is>
          <t>2,600</t>
        </is>
      </c>
      <c r="O267" t="inlineStr">
        <is>
          <t>Commercial Real Estate</t>
        </is>
      </c>
      <c r="P267" t="inlineStr">
        <is>
          <t>estate agency,lettings,property investment</t>
        </is>
      </c>
      <c r="Q267" t="inlineStr">
        <is>
          <t>+441344753230</t>
        </is>
      </c>
    </row>
    <row r="268">
      <c r="A268" t="inlineStr">
        <is>
          <t>54c2ae377468697af70a61b9</t>
        </is>
      </c>
      <c r="B268" t="inlineStr">
        <is>
          <t>Matt Glenny</t>
        </is>
      </c>
      <c r="C268">
        <f>HYPERLINK("http://www.linkedin.com/in/mattglenny")</f>
        <v/>
      </c>
      <c r="D268" t="inlineStr">
        <is>
          <t>mglenny@costar.co.uk</t>
        </is>
      </c>
      <c r="E268" t="inlineStr">
        <is>
          <t>UK Head of Sales</t>
        </is>
      </c>
      <c r="F268">
        <f>HYPERLINK("https://app.apollo.io/#/people/54c2ae377468697af70a61b9")</f>
        <v/>
      </c>
      <c r="G268" t="inlineStr">
        <is>
          <t>CoStar Group</t>
        </is>
      </c>
      <c r="H268">
        <f>HYPERLINK("https://app.apollo.io/#/organizations/5ed2cb5c198f050001401441")</f>
        <v/>
      </c>
      <c r="I268">
        <f>HYPERLINK("http://www.costargroup.com/")</f>
        <v/>
      </c>
      <c r="J268">
        <f>HYPERLINK("http://www.linkedin.com/company/costar-group")</f>
        <v/>
      </c>
      <c r="K268">
        <f>HYPERLINK("http://twitter.com/TheCoStarGroup")</f>
        <v/>
      </c>
      <c r="L268">
        <f>HYPERLINK("http://www.facebook.com/CoStarGroup")</f>
        <v/>
      </c>
      <c r="M268" t="inlineStr">
        <is>
          <t>London, United Kingdom</t>
        </is>
      </c>
      <c r="N268" t="inlineStr">
        <is>
          <t>6,300</t>
        </is>
      </c>
      <c r="O268" t="inlineStr">
        <is>
          <t>Commercial Real Estate</t>
        </is>
      </c>
      <c r="P268" t="inlineStr">
        <is>
          <t>information technology,research,marketing</t>
        </is>
      </c>
      <c r="Q268" t="inlineStr">
        <is>
          <t>(202)-346-6500</t>
        </is>
      </c>
    </row>
    <row r="269">
      <c r="A269" t="inlineStr">
        <is>
          <t>609113a404f4290001bb0921</t>
        </is>
      </c>
      <c r="B269" t="inlineStr">
        <is>
          <t>Kunal Lala</t>
        </is>
      </c>
      <c r="C269">
        <f>HYPERLINK("http://www.linkedin.com/in/kunal-lala-98b2368")</f>
        <v/>
      </c>
      <c r="D269" t="inlineStr">
        <is>
          <t>kunal.lala@spaceflow.io</t>
        </is>
      </c>
      <c r="E269" t="inlineStr">
        <is>
          <t>Head of Sales &amp; Partnerships</t>
        </is>
      </c>
      <c r="F269">
        <f>HYPERLINK("https://app.apollo.io/#/people/609113a404f4290001bb0921")</f>
        <v/>
      </c>
      <c r="G269" t="inlineStr">
        <is>
          <t>Spaceflow</t>
        </is>
      </c>
      <c r="H269">
        <f>HYPERLINK("https://app.apollo.io/#/accounts/6578bc6bf8c62e02d0f7c2bf")</f>
        <v/>
      </c>
      <c r="I269">
        <f>HYPERLINK("http://www.spaceflow.io/")</f>
        <v/>
      </c>
      <c r="J269">
        <f>HYPERLINK("http://www.linkedin.com/company/spaceflow")</f>
        <v/>
      </c>
      <c r="K269">
        <f>HYPERLINK("https://twitter.com/Spaceflowapp")</f>
        <v/>
      </c>
      <c r="L269">
        <f>HYPERLINK("https://www.facebook.com/spaceflow.io/")</f>
        <v/>
      </c>
      <c r="M269" t="inlineStr">
        <is>
          <t>United Kingdom</t>
        </is>
      </c>
      <c r="N269" t="inlineStr">
        <is>
          <t>30</t>
        </is>
      </c>
      <c r="O269" t="inlineStr">
        <is>
          <t>Commercial Real Estate</t>
        </is>
      </c>
      <c r="P269" t="inlineStr">
        <is>
          <t>digital,realestate,technology,commercial real estate</t>
        </is>
      </c>
      <c r="Q269" t="inlineStr">
        <is>
          <t>+420722101404</t>
        </is>
      </c>
    </row>
    <row r="270">
      <c r="A270" t="inlineStr">
        <is>
          <t>54a597d47468693442dcdf9c</t>
        </is>
      </c>
      <c r="B270" t="inlineStr">
        <is>
          <t>Trevor Mewes</t>
        </is>
      </c>
      <c r="C270">
        <f>HYPERLINK("http://www.linkedin.com/in/trevor-mewes-49006a71")</f>
        <v/>
      </c>
      <c r="D270" t="inlineStr">
        <is>
          <t>trevormewes@dawsongroup.co.uk</t>
        </is>
      </c>
      <c r="E270" t="inlineStr">
        <is>
          <t>Regional Head of Sales</t>
        </is>
      </c>
      <c r="F270">
        <f>HYPERLINK("https://app.apollo.io/#/people/54a597d47468693442dcdf9c")</f>
        <v/>
      </c>
      <c r="G270" t="inlineStr">
        <is>
          <t>Dawsongroup</t>
        </is>
      </c>
      <c r="H270">
        <f>HYPERLINK("https://app.apollo.io/#/accounts/6578bdff73d31601aeef274e")</f>
        <v/>
      </c>
      <c r="I270">
        <f>HYPERLINK("http://www.dawsongroup.co.uk/")</f>
        <v/>
      </c>
      <c r="J270">
        <f>HYPERLINK("http://www.linkedin.com/company/dawsongroup-plc")</f>
        <v/>
      </c>
      <c r="K270">
        <f>HYPERLINK("https://twitter.com/dawsongroupplc")</f>
        <v/>
      </c>
      <c r="L270">
        <f>HYPERLINK("Not Found")</f>
        <v/>
      </c>
      <c r="M270" t="inlineStr">
        <is>
          <t>Newcastle upon Tyne, United Kingdom</t>
        </is>
      </c>
      <c r="N270" t="inlineStr">
        <is>
          <t>390</t>
        </is>
      </c>
      <c r="O270" t="inlineStr">
        <is>
          <t>Commercial Real Estate</t>
        </is>
      </c>
      <c r="P270" t="inlineStr">
        <is>
          <t>asset management,rental</t>
        </is>
      </c>
      <c r="Q270" t="inlineStr">
        <is>
          <t>+441908218111</t>
        </is>
      </c>
    </row>
    <row r="271">
      <c r="A271" t="inlineStr">
        <is>
          <t>6102d4d1c796340001ec89d4</t>
        </is>
      </c>
      <c r="B271" t="inlineStr">
        <is>
          <t>Alex Hinchliffe</t>
        </is>
      </c>
      <c r="C271">
        <f>HYPERLINK("http://www.linkedin.com/in/alex-hinchliffe-a1753a13")</f>
        <v/>
      </c>
      <c r="D271" t="inlineStr">
        <is>
          <t>Not Found</t>
        </is>
      </c>
      <c r="E271" t="inlineStr">
        <is>
          <t>CFO Data Centre Solutions</t>
        </is>
      </c>
      <c r="F271">
        <f>HYPERLINK("https://app.apollo.io/#/people/6102d4d1c796340001ec89d4")</f>
        <v/>
      </c>
      <c r="G271" t="inlineStr">
        <is>
          <t>CBRE Global Workplace Solutions (GWS)</t>
        </is>
      </c>
      <c r="H271">
        <f>HYPERLINK("https://app.apollo.io/#/accounts/6509fed6f449800001b69a15")</f>
        <v/>
      </c>
      <c r="I271">
        <f>HYPERLINK("http://www.coor.com/")</f>
        <v/>
      </c>
      <c r="J271">
        <f>HYPERLINK("http://www.linkedin.com/company/cbre-gws")</f>
        <v/>
      </c>
      <c r="K271">
        <f>HYPERLINK("Not Found")</f>
        <v/>
      </c>
      <c r="L271">
        <f>HYPERLINK("Not Found")</f>
        <v/>
      </c>
      <c r="M271" t="inlineStr">
        <is>
          <t>London, United Kingdom</t>
        </is>
      </c>
      <c r="N271" t="inlineStr">
        <is>
          <t>15,000</t>
        </is>
      </c>
      <c r="O271" t="inlineStr">
        <is>
          <t>Commercial Real Estate</t>
        </is>
      </c>
      <c r="P271" t="inlineStr">
        <is>
          <t>project management,advisory,transaction services</t>
        </is>
      </c>
      <c r="Q271" t="inlineStr">
        <is>
          <t>Not Found</t>
        </is>
      </c>
    </row>
    <row r="272">
      <c r="A272" t="inlineStr">
        <is>
          <t>6578bc4bf8c62e01aef7c336</t>
        </is>
      </c>
      <c r="B272" t="inlineStr">
        <is>
          <t>Marcus Ginn</t>
        </is>
      </c>
      <c r="C272">
        <f>HYPERLINK("http://www.linkedin.com/in/marcus-ginn-185284108")</f>
        <v/>
      </c>
      <c r="D272" t="inlineStr">
        <is>
          <t>marcus@edozo.com</t>
        </is>
      </c>
      <c r="E272" t="inlineStr">
        <is>
          <t>Founder &amp; CEO</t>
        </is>
      </c>
      <c r="F272">
        <f>HYPERLINK("https://app.apollo.io/#/contacts/6578bc4bf8c62e01aef7c336")</f>
        <v/>
      </c>
      <c r="G272" t="inlineStr">
        <is>
          <t>edozo</t>
        </is>
      </c>
      <c r="H272">
        <f>HYPERLINK("https://app.apollo.io/#/accounts/6578bc4bf8c62e01aef7c338")</f>
        <v/>
      </c>
      <c r="I272">
        <f>HYPERLINK("http://www.edozo.com/")</f>
        <v/>
      </c>
      <c r="J272">
        <f>HYPERLINK("http://www.linkedin.com/company/edozo")</f>
        <v/>
      </c>
      <c r="K272">
        <f>HYPERLINK("https://twitter.com/edozo_uk")</f>
        <v/>
      </c>
      <c r="L272">
        <f>HYPERLINK("https://facebook.com/edozomaps/")</f>
        <v/>
      </c>
      <c r="M272" t="inlineStr">
        <is>
          <t>London, United Kingdom</t>
        </is>
      </c>
      <c r="N272" t="inlineStr">
        <is>
          <t>38</t>
        </is>
      </c>
      <c r="O272" t="inlineStr">
        <is>
          <t>Commercial Real Estate</t>
        </is>
      </c>
      <c r="P272" t="inlineStr">
        <is>
          <t>data,crm,real estate technology</t>
        </is>
      </c>
      <c r="Q272" t="inlineStr">
        <is>
          <t>+442070467803</t>
        </is>
      </c>
    </row>
    <row r="273">
      <c r="A273" t="inlineStr">
        <is>
          <t>6578bc5af8c62e03f3f7c304</t>
        </is>
      </c>
      <c r="B273" t="inlineStr">
        <is>
          <t>Savannah Savary</t>
        </is>
      </c>
      <c r="C273">
        <f>HYPERLINK("http://www.linkedin.com/in/savannahdesavary")</f>
        <v/>
      </c>
      <c r="D273" t="inlineStr">
        <is>
          <t>Not Found</t>
        </is>
      </c>
      <c r="E273" t="inlineStr">
        <is>
          <t>Founder and CEO</t>
        </is>
      </c>
      <c r="F273">
        <f>HYPERLINK("https://app.apollo.io/#/contacts/6578bc5af8c62e03f3f7c304")</f>
        <v/>
      </c>
      <c r="G273" t="inlineStr">
        <is>
          <t>Built-ID</t>
        </is>
      </c>
      <c r="H273">
        <f>HYPERLINK("https://app.apollo.io/#/accounts/6578b7347d8cc901ae12dbaf")</f>
        <v/>
      </c>
      <c r="I273">
        <f>HYPERLINK("http://www.built-id.com/")</f>
        <v/>
      </c>
      <c r="J273">
        <f>HYPERLINK("http://www.linkedin.com/company/built-id")</f>
        <v/>
      </c>
      <c r="K273">
        <f>HYPERLINK("https://twitter.com/Built_ID")</f>
        <v/>
      </c>
      <c r="L273">
        <f>HYPERLINK("Not Found")</f>
        <v/>
      </c>
      <c r="M273" t="inlineStr">
        <is>
          <t>London, United Kingdom</t>
        </is>
      </c>
      <c r="N273" t="inlineStr">
        <is>
          <t>11</t>
        </is>
      </c>
      <c r="O273" t="inlineStr">
        <is>
          <t>Commercial Real Estate</t>
        </is>
      </c>
      <c r="P273" t="inlineStr">
        <is>
          <t>commercial real estate,real estate technology</t>
        </is>
      </c>
      <c r="Q273" t="inlineStr">
        <is>
          <t>(917)-284-2414</t>
        </is>
      </c>
    </row>
    <row r="274">
      <c r="A274" t="inlineStr">
        <is>
          <t>6578bc9bf8c62e01aef7c54e</t>
        </is>
      </c>
      <c r="B274" t="inlineStr">
        <is>
          <t>David Howarth</t>
        </is>
      </c>
      <c r="C274">
        <f>HYPERLINK("http://www.linkedin.com/in/david-howarth-9059a6b2")</f>
        <v/>
      </c>
      <c r="D274" t="inlineStr">
        <is>
          <t>Not Found</t>
        </is>
      </c>
      <c r="E274" t="inlineStr">
        <is>
          <t>Partner /Owner</t>
        </is>
      </c>
      <c r="F274">
        <f>HYPERLINK("https://app.apollo.io/#/contacts/6578bc9bf8c62e01aef7c54e")</f>
        <v/>
      </c>
      <c r="G274" t="inlineStr">
        <is>
          <t>Stone House Properties</t>
        </is>
      </c>
      <c r="H274">
        <f>HYPERLINK("https://app.apollo.io/#/accounts/6578bc9bf8c62e01aef7c550")</f>
        <v/>
      </c>
      <c r="I274">
        <f>HYPERLINK("http://www.stonehouseproperties.com/")</f>
        <v/>
      </c>
      <c r="J274">
        <f>HYPERLINK("http://www.linkedin.com/company/stone-house-properties")</f>
        <v/>
      </c>
      <c r="K274">
        <f>HYPERLINK("https://twitter.com/suzannecrerar")</f>
        <v/>
      </c>
      <c r="L274">
        <f>HYPERLINK("https://facebook.com/pages/Stone-House-Properties-LLC/304687475979")</f>
        <v/>
      </c>
      <c r="M274" t="inlineStr">
        <is>
          <t>Bury, United Kingdom</t>
        </is>
      </c>
      <c r="N274" t="inlineStr">
        <is>
          <t>26</t>
        </is>
      </c>
      <c r="O274" t="inlineStr">
        <is>
          <t>Commercial Real Estate</t>
        </is>
      </c>
      <c r="P274" t="inlineStr">
        <is>
          <t>commercial real estate,luxury portfolio</t>
        </is>
      </c>
      <c r="Q274" t="inlineStr">
        <is>
          <t>(413)-298-4777</t>
        </is>
      </c>
    </row>
    <row r="275">
      <c r="A275" t="inlineStr">
        <is>
          <t>philellis10</t>
        </is>
      </c>
      <c r="C275">
        <f>HYPERLINK("http://www.linkedin.com/in/philellis10")</f>
        <v/>
      </c>
      <c r="D275" t="inlineStr">
        <is>
          <t>phil@techspace.co</t>
        </is>
      </c>
      <c r="E275" t="inlineStr">
        <is>
          <t>Co-founder and Marketing Director</t>
        </is>
      </c>
      <c r="F275">
        <f>HYPERLINK("https://twitter.com/philellis10")</f>
        <v/>
      </c>
      <c r="G275" t="inlineStr">
        <is>
          <t>Techspace</t>
        </is>
      </c>
      <c r="H275">
        <f>HYPERLINK("https://app.apollo.io/#/accounts/6578bc3df8c62e01aef7c2bf")</f>
        <v/>
      </c>
      <c r="I275">
        <f>HYPERLINK("http://www.techspace.co/")</f>
        <v/>
      </c>
      <c r="J275">
        <f>HYPERLINK("http://www.linkedin.com/company/techspace-co")</f>
        <v/>
      </c>
      <c r="K275">
        <f>HYPERLINK("https://twitter.com/techspaceco")</f>
        <v/>
      </c>
      <c r="L275">
        <f>HYPERLINK("http://www.facebook.com/techspaceco")</f>
        <v/>
      </c>
      <c r="M275" t="inlineStr">
        <is>
          <t>London, United Kingdom</t>
        </is>
      </c>
      <c r="N275" t="inlineStr">
        <is>
          <t>56</t>
        </is>
      </c>
      <c r="O275" t="inlineStr">
        <is>
          <t>Commercial Real Estate</t>
        </is>
      </c>
      <c r="P275" t="inlineStr">
        <is>
          <t>startups,real estate,coworking,office space</t>
        </is>
      </c>
      <c r="Q275" t="inlineStr">
        <is>
          <t>+442030952964</t>
        </is>
      </c>
    </row>
    <row r="276">
      <c r="A276" t="inlineStr">
        <is>
          <t>6578bc63f8c62e01aef7c3b3</t>
        </is>
      </c>
      <c r="B276" t="inlineStr">
        <is>
          <t>Dennis Matse-Orere</t>
        </is>
      </c>
      <c r="C276">
        <f>HYPERLINK("http://www.linkedin.com/in/dennismatseorere")</f>
        <v/>
      </c>
      <c r="D276" t="inlineStr">
        <is>
          <t>dennis@legacypcl.co.uk</t>
        </is>
      </c>
      <c r="E276" t="inlineStr">
        <is>
          <t>CEO/Founder</t>
        </is>
      </c>
      <c r="F276">
        <f>HYPERLINK("https://app.apollo.io/#/contacts/6578bc63f8c62e01aef7c3b3")</f>
        <v/>
      </c>
      <c r="G276" t="inlineStr">
        <is>
          <t>Legacy Property Consultants</t>
        </is>
      </c>
      <c r="H276">
        <f>HYPERLINK("https://app.apollo.io/#/accounts/6578bc63f8c62e01aef7c3b5")</f>
        <v/>
      </c>
      <c r="I276">
        <f>HYPERLINK("http://www.legacypcl.co.uk/")</f>
        <v/>
      </c>
      <c r="J276">
        <f>HYPERLINK("http://www.linkedin.com/company/legacy-property-consultants")</f>
        <v/>
      </c>
      <c r="K276">
        <f>HYPERLINK("https://twitter.com/LegacyProperty9")</f>
        <v/>
      </c>
      <c r="L276">
        <f>HYPERLINK("https://www.facebook.com/legacypropertyconsultants")</f>
        <v/>
      </c>
      <c r="M276" t="inlineStr">
        <is>
          <t>London, United Kingdom</t>
        </is>
      </c>
      <c r="N276" t="inlineStr">
        <is>
          <t>6</t>
        </is>
      </c>
      <c r="O276" t="inlineStr">
        <is>
          <t>Commercial Real Estate</t>
        </is>
      </c>
      <c r="P276" t="inlineStr">
        <is>
          <t>property management,developments</t>
        </is>
      </c>
      <c r="Q276" t="inlineStr">
        <is>
          <t>+447780000956</t>
        </is>
      </c>
    </row>
    <row r="277">
      <c r="A277" t="inlineStr">
        <is>
          <t>6578bc6bf8c62e02d0f7c2bd</t>
        </is>
      </c>
      <c r="B277" t="inlineStr">
        <is>
          <t>Lukas Balik</t>
        </is>
      </c>
      <c r="C277">
        <f>HYPERLINK("http://www.linkedin.com/in/lukasbalik")</f>
        <v/>
      </c>
      <c r="D277" t="inlineStr">
        <is>
          <t>lukas.balik@spaceflow.io</t>
        </is>
      </c>
      <c r="E277" t="inlineStr">
        <is>
          <t>Co-Founder, CEO</t>
        </is>
      </c>
      <c r="F277">
        <f>HYPERLINK("https://app.apollo.io/#/contacts/6578bc6bf8c62e02d0f7c2bd")</f>
        <v/>
      </c>
      <c r="G277" t="inlineStr">
        <is>
          <t>Spaceflow</t>
        </is>
      </c>
      <c r="H277">
        <f>HYPERLINK("https://app.apollo.io/#/accounts/6578bc6bf8c62e02d0f7c2bf")</f>
        <v/>
      </c>
      <c r="I277">
        <f>HYPERLINK("http://www.spaceflow.io/")</f>
        <v/>
      </c>
      <c r="J277">
        <f>HYPERLINK("http://www.linkedin.com/company/spaceflow")</f>
        <v/>
      </c>
      <c r="K277">
        <f>HYPERLINK("https://twitter.com/Spaceflowapp")</f>
        <v/>
      </c>
      <c r="L277">
        <f>HYPERLINK("https://www.facebook.com/spaceflow.io/")</f>
        <v/>
      </c>
      <c r="M277" t="inlineStr">
        <is>
          <t>London, United Kingdom</t>
        </is>
      </c>
      <c r="N277" t="inlineStr">
        <is>
          <t>30</t>
        </is>
      </c>
      <c r="O277" t="inlineStr">
        <is>
          <t>Commercial Real Estate</t>
        </is>
      </c>
      <c r="P277" t="inlineStr">
        <is>
          <t>digital,realestate,technology,commercial real estate</t>
        </is>
      </c>
      <c r="Q277" t="inlineStr">
        <is>
          <t>+420775921992</t>
        </is>
      </c>
    </row>
    <row r="278">
      <c r="A278" t="inlineStr">
        <is>
          <t>54a44bbe74686936762b513c</t>
        </is>
      </c>
      <c r="B278" t="inlineStr">
        <is>
          <t>Ric Smith</t>
        </is>
      </c>
      <c r="C278">
        <f>HYPERLINK("http://www.linkedin.com/in/ric-smith-80600518")</f>
        <v/>
      </c>
      <c r="D278" t="inlineStr">
        <is>
          <t>Not Found</t>
        </is>
      </c>
      <c r="E278" t="inlineStr">
        <is>
          <t>Co-Founder / creative director</t>
        </is>
      </c>
      <c r="F278">
        <f>HYPERLINK("https://app.apollo.io/#/people/54a44bbe74686936762b513c")</f>
        <v/>
      </c>
      <c r="G278" t="inlineStr">
        <is>
          <t>Satori Collective</t>
        </is>
      </c>
      <c r="H278">
        <f>HYPERLINK("https://app.apollo.io/#/organizations/63f3e962be2d1400d9a45a31")</f>
        <v/>
      </c>
      <c r="I278">
        <f>HYPERLINK("http://www.satoricol.com/")</f>
        <v/>
      </c>
      <c r="J278">
        <f>HYPERLINK("http://www.linkedin.com/company/satori-col")</f>
        <v/>
      </c>
      <c r="K278">
        <f>HYPERLINK("Not Found")</f>
        <v/>
      </c>
      <c r="L278">
        <f>HYPERLINK("Not Found")</f>
        <v/>
      </c>
      <c r="M278" t="inlineStr">
        <is>
          <t>United Kingdom</t>
        </is>
      </c>
      <c r="N278" t="inlineStr">
        <is>
          <t>10</t>
        </is>
      </c>
      <c r="O278" t="inlineStr">
        <is>
          <t>Commercial Real Estate</t>
        </is>
      </c>
      <c r="P278" t="inlineStr">
        <is>
          <t>institutional,investment,commercial real estate</t>
        </is>
      </c>
      <c r="Q278" t="inlineStr">
        <is>
          <t>Not Found</t>
        </is>
      </c>
    </row>
    <row r="279">
      <c r="A279" t="inlineStr">
        <is>
          <t>5acfa648a6da98d146c1dc14</t>
        </is>
      </c>
      <c r="B279" t="inlineStr">
        <is>
          <t>Mark Wilson</t>
        </is>
      </c>
      <c r="C279">
        <f>HYPERLINK("http://www.linkedin.com/in/mark-wilson-b7155319")</f>
        <v/>
      </c>
      <c r="D279" t="inlineStr">
        <is>
          <t>mark.wilson@acrellp.com</t>
        </is>
      </c>
      <c r="E279" t="inlineStr">
        <is>
          <t>Partner</t>
        </is>
      </c>
      <c r="F279">
        <f>HYPERLINK("https://app.apollo.io/#/people/5acfa648a6da98d146c1dc14")</f>
        <v/>
      </c>
      <c r="G279" t="inlineStr">
        <is>
          <t>ACRE Capital Real Estate LLP</t>
        </is>
      </c>
      <c r="H279">
        <f>HYPERLINK("https://app.apollo.io/#/organizations/5a9ce1b7a6da98d997753668")</f>
        <v/>
      </c>
      <c r="I279">
        <f>HYPERLINK("http://www.acrellp.com/")</f>
        <v/>
      </c>
      <c r="J279">
        <f>HYPERLINK("http://www.linkedin.com/company/acre-capital-real-estate-llp")</f>
        <v/>
      </c>
      <c r="K279">
        <f>HYPERLINK("Not Found")</f>
        <v/>
      </c>
      <c r="L279">
        <f>HYPERLINK("Not Found")</f>
        <v/>
      </c>
      <c r="M279" t="inlineStr">
        <is>
          <t>London, United Kingdom</t>
        </is>
      </c>
      <c r="N279" t="inlineStr">
        <is>
          <t>20</t>
        </is>
      </c>
      <c r="O279" t="inlineStr">
        <is>
          <t>Commercial Real Estate</t>
        </is>
      </c>
      <c r="P279" t="inlineStr">
        <is>
          <t>commercial real estate,business space investment</t>
        </is>
      </c>
      <c r="Q279" t="inlineStr">
        <is>
          <t>+442039034368</t>
        </is>
      </c>
    </row>
    <row r="280">
      <c r="A280" t="inlineStr">
        <is>
          <t>557087687369647c293cad00</t>
        </is>
      </c>
      <c r="B280" t="inlineStr">
        <is>
          <t>Niall Christian</t>
        </is>
      </c>
      <c r="C280">
        <f>HYPERLINK("http://www.linkedin.com/in/niall-christian-7a916612")</f>
        <v/>
      </c>
      <c r="D280" t="inlineStr">
        <is>
          <t>niall.christian@michaelrogers.co.uk</t>
        </is>
      </c>
      <c r="E280" t="inlineStr">
        <is>
          <t>Partner</t>
        </is>
      </c>
      <c r="F280">
        <f>HYPERLINK("https://app.apollo.io/#/people/557087687369647c293cad00")</f>
        <v/>
      </c>
      <c r="G280" t="inlineStr">
        <is>
          <t>Michael Rogers LLP</t>
        </is>
      </c>
      <c r="H280">
        <f>HYPERLINK("https://app.apollo.io/#/organizations/5f69a8c0b5a4c2011bf28511")</f>
        <v/>
      </c>
      <c r="I280">
        <f>HYPERLINK("Not Found")</f>
        <v/>
      </c>
      <c r="J280">
        <f>HYPERLINK("http://www.linkedin.com/company/michael-rogers-llp")</f>
        <v/>
      </c>
      <c r="K280">
        <f>HYPERLINK("Not Found")</f>
        <v/>
      </c>
      <c r="L280">
        <f>HYPERLINK("https://facebook.com/pages/Michael-Rogers-LLP/212368852189933")</f>
        <v/>
      </c>
      <c r="M280" t="inlineStr">
        <is>
          <t>London, United Kingdom</t>
        </is>
      </c>
      <c r="N280" t="inlineStr">
        <is>
          <t>10</t>
        </is>
      </c>
      <c r="O280" t="inlineStr">
        <is>
          <t>Commercial Real Estate</t>
        </is>
      </c>
      <c r="P280" t="inlineStr">
        <is>
          <t>commercial real estate,sales,investment</t>
        </is>
      </c>
      <c r="Q280" t="inlineStr">
        <is>
          <t>+441737230700</t>
        </is>
      </c>
    </row>
    <row r="281">
      <c r="A281" t="inlineStr">
        <is>
          <t>57db466fa6da984bd0d73704</t>
        </is>
      </c>
      <c r="B281" t="inlineStr">
        <is>
          <t>James Andrews</t>
        </is>
      </c>
      <c r="C281">
        <f>HYPERLINK("http://www.linkedin.com/in/jamesandrewsklm")</f>
        <v/>
      </c>
      <c r="D281" t="inlineStr">
        <is>
          <t>jandrews@klmretail.com</t>
        </is>
      </c>
      <c r="E281" t="inlineStr">
        <is>
          <t>Partner</t>
        </is>
      </c>
      <c r="F281">
        <f>HYPERLINK("https://app.apollo.io/#/people/57db466fa6da984bd0d73704")</f>
        <v/>
      </c>
      <c r="G281" t="inlineStr">
        <is>
          <t>KLM Real Estate</t>
        </is>
      </c>
      <c r="H281">
        <f>HYPERLINK("https://app.apollo.io/#/organizations/5d0a6ad6a3ae6121868fabd7")</f>
        <v/>
      </c>
      <c r="I281">
        <f>HYPERLINK("http://www.klm-re.com/")</f>
        <v/>
      </c>
      <c r="J281">
        <f>HYPERLINK("http://www.linkedin.com/company/klm-realestate")</f>
        <v/>
      </c>
      <c r="K281">
        <f>HYPERLINK("https://twitter.com/klmrealestate")</f>
        <v/>
      </c>
      <c r="L281">
        <f>HYPERLINK("Not Found")</f>
        <v/>
      </c>
      <c r="M281" t="inlineStr">
        <is>
          <t>London, United Kingdom</t>
        </is>
      </c>
      <c r="N281" t="inlineStr">
        <is>
          <t>25</t>
        </is>
      </c>
      <c r="O281" t="inlineStr">
        <is>
          <t>Commercial Real Estate</t>
        </is>
      </c>
      <c r="P281" t="inlineStr">
        <is>
          <t>agency,investment,lease advisory,international</t>
        </is>
      </c>
      <c r="Q281" t="inlineStr">
        <is>
          <t>+442073173700</t>
        </is>
      </c>
    </row>
    <row r="282">
      <c r="A282" t="inlineStr">
        <is>
          <t>54a5d4f674686932094d53ac</t>
        </is>
      </c>
      <c r="B282" t="inlineStr">
        <is>
          <t>Russell Nimmo</t>
        </is>
      </c>
      <c r="C282">
        <f>HYPERLINK("http://www.linkedin.com/in/russell-nimmo-b106076a")</f>
        <v/>
      </c>
      <c r="D282" t="inlineStr">
        <is>
          <t>russell.nimmo@kimmre.com</t>
        </is>
      </c>
      <c r="E282" t="inlineStr">
        <is>
          <t>Partner</t>
        </is>
      </c>
      <c r="F282">
        <f>HYPERLINK("https://app.apollo.io/#/people/54a5d4f674686932094d53ac")</f>
        <v/>
      </c>
      <c r="G282" t="inlineStr">
        <is>
          <t>Kimmre</t>
        </is>
      </c>
      <c r="H282">
        <f>HYPERLINK("https://app.apollo.io/#/organizations/5ed0573ff110830001b4bce0")</f>
        <v/>
      </c>
      <c r="I282">
        <f>HYPERLINK("http://www.kimmre.com/")</f>
        <v/>
      </c>
      <c r="J282">
        <f>HYPERLINK("http://www.linkedin.com/company/kimmre")</f>
        <v/>
      </c>
      <c r="K282">
        <f>HYPERLINK("Not Found")</f>
        <v/>
      </c>
      <c r="L282">
        <f>HYPERLINK("Not Found")</f>
        <v/>
      </c>
      <c r="M282" t="inlineStr">
        <is>
          <t>London, United Kingdom</t>
        </is>
      </c>
      <c r="N282" t="inlineStr">
        <is>
          <t>18</t>
        </is>
      </c>
      <c r="O282" t="inlineStr">
        <is>
          <t>Commercial Real Estate</t>
        </is>
      </c>
      <c r="P282" t="inlineStr">
        <is>
          <t>commercial real estate,investment,development</t>
        </is>
      </c>
      <c r="Q282" t="inlineStr">
        <is>
          <t>+442079526100</t>
        </is>
      </c>
    </row>
    <row r="283">
      <c r="A283" t="inlineStr">
        <is>
          <t>54a6269174686938ac703ec6</t>
        </is>
      </c>
      <c r="B283" t="inlineStr">
        <is>
          <t>Robert Toland</t>
        </is>
      </c>
      <c r="C283">
        <f>HYPERLINK("http://www.linkedin.com/in/robert-toland-58769316")</f>
        <v/>
      </c>
      <c r="D283" t="inlineStr">
        <is>
          <t>robert.toland@cushwake-ni.com</t>
        </is>
      </c>
      <c r="E283" t="inlineStr">
        <is>
          <t>Partner</t>
        </is>
      </c>
      <c r="F283">
        <f>HYPERLINK("https://app.apollo.io/#/people/54a6269174686938ac703ec6")</f>
        <v/>
      </c>
      <c r="G283" t="inlineStr">
        <is>
          <t>Cushman &amp; Wakefield - Formerly DTZ</t>
        </is>
      </c>
      <c r="H283">
        <f>HYPERLINK("https://app.apollo.io/#/organizations/54a12ae469702d9548c73f02")</f>
        <v/>
      </c>
      <c r="I283">
        <f>HYPERLINK("Not Found")</f>
        <v/>
      </c>
      <c r="J283">
        <f>HYPERLINK("http://www.linkedin.com/company/dtz")</f>
        <v/>
      </c>
      <c r="K283">
        <f>HYPERLINK("Not Found")</f>
        <v/>
      </c>
      <c r="L283">
        <f>HYPERLINK("Not Found")</f>
        <v/>
      </c>
      <c r="M283" t="inlineStr">
        <is>
          <t>Belfast, United Kingdom</t>
        </is>
      </c>
      <c r="N283" t="inlineStr">
        <is>
          <t>3,800</t>
        </is>
      </c>
      <c r="O283" t="inlineStr">
        <is>
          <t>Commercial Real Estate</t>
        </is>
      </c>
      <c r="P283" t="inlineStr">
        <is>
          <t>agency leasing,capital markets,consulting</t>
        </is>
      </c>
      <c r="Q283" t="inlineStr">
        <is>
          <t>(212)-841-7500</t>
        </is>
      </c>
    </row>
    <row r="284">
      <c r="A284" t="inlineStr">
        <is>
          <t>57d72752a6da9805f1a96d85</t>
        </is>
      </c>
      <c r="B284" t="inlineStr">
        <is>
          <t>Max Clynes</t>
        </is>
      </c>
      <c r="C284">
        <f>HYPERLINK("http://www.linkedin.com/in/max-clynes-76239954")</f>
        <v/>
      </c>
      <c r="D284" t="inlineStr">
        <is>
          <t>max.clynes@kimmre.com</t>
        </is>
      </c>
      <c r="E284" t="inlineStr">
        <is>
          <t>Partner</t>
        </is>
      </c>
      <c r="F284">
        <f>HYPERLINK("https://app.apollo.io/#/people/57d72752a6da9805f1a96d85")</f>
        <v/>
      </c>
      <c r="G284" t="inlineStr">
        <is>
          <t>Kimmre</t>
        </is>
      </c>
      <c r="H284">
        <f>HYPERLINK("https://app.apollo.io/#/organizations/5ed0573ff110830001b4bce0")</f>
        <v/>
      </c>
      <c r="I284">
        <f>HYPERLINK("http://www.kimmre.com/")</f>
        <v/>
      </c>
      <c r="J284">
        <f>HYPERLINK("http://www.linkedin.com/company/kimmre")</f>
        <v/>
      </c>
      <c r="K284">
        <f>HYPERLINK("Not Found")</f>
        <v/>
      </c>
      <c r="L284">
        <f>HYPERLINK("Not Found")</f>
        <v/>
      </c>
      <c r="M284" t="inlineStr">
        <is>
          <t>Leeds, United Kingdom</t>
        </is>
      </c>
      <c r="N284" t="inlineStr">
        <is>
          <t>18</t>
        </is>
      </c>
      <c r="O284" t="inlineStr">
        <is>
          <t>Commercial Real Estate</t>
        </is>
      </c>
      <c r="P284" t="inlineStr">
        <is>
          <t>commercial real estate,investment,development</t>
        </is>
      </c>
      <c r="Q284" t="inlineStr">
        <is>
          <t>+442079526100</t>
        </is>
      </c>
    </row>
    <row r="285">
      <c r="A285" t="inlineStr">
        <is>
          <t>54a276ab7468693fda320c25</t>
        </is>
      </c>
      <c r="B285" t="inlineStr">
        <is>
          <t>Roland Browning</t>
        </is>
      </c>
      <c r="C285">
        <f>HYPERLINK("http://www.linkedin.com/in/rolandbrowningcreadvice")</f>
        <v/>
      </c>
      <c r="D285" t="inlineStr">
        <is>
          <t>rbrowning@vailwilliams.com</t>
        </is>
      </c>
      <c r="E285" t="inlineStr">
        <is>
          <t>Partner</t>
        </is>
      </c>
      <c r="F285">
        <f>HYPERLINK("https://app.apollo.io/#/people/54a276ab7468693fda320c25")</f>
        <v/>
      </c>
      <c r="G285" t="inlineStr">
        <is>
          <t>Vail Williams</t>
        </is>
      </c>
      <c r="H285">
        <f>HYPERLINK("https://app.apollo.io/#/organizations/5b133d63a6da98dcf7619d24")</f>
        <v/>
      </c>
      <c r="I285">
        <f>HYPERLINK("http://www.vailwilliams.com/")</f>
        <v/>
      </c>
      <c r="J285">
        <f>HYPERLINK("http://www.linkedin.com/company/vail-williams")</f>
        <v/>
      </c>
      <c r="K285">
        <f>HYPERLINK("https://twitter.com/vailwilliams")</f>
        <v/>
      </c>
      <c r="L285">
        <f>HYPERLINK("https://www.facebook.com/vailwilliams")</f>
        <v/>
      </c>
      <c r="M285" t="inlineStr">
        <is>
          <t>London, United Kingdom</t>
        </is>
      </c>
      <c r="N285" t="inlineStr">
        <is>
          <t>200</t>
        </is>
      </c>
      <c r="O285" t="inlineStr">
        <is>
          <t>Commercial Real Estate</t>
        </is>
      </c>
      <c r="P285" t="inlineStr">
        <is>
          <t>real estate,real estate agents</t>
        </is>
      </c>
      <c r="Q285" t="inlineStr">
        <is>
          <t>+442035890080</t>
        </is>
      </c>
    </row>
    <row r="286">
      <c r="A286" t="inlineStr">
        <is>
          <t>5b8c7e6cf874f71090852914</t>
        </is>
      </c>
      <c r="B286" t="inlineStr">
        <is>
          <t>Suzanne Holloway</t>
        </is>
      </c>
      <c r="C286">
        <f>HYPERLINK("http://www.linkedin.com/in/suzanne-holloway-03a328101")</f>
        <v/>
      </c>
      <c r="D286" t="inlineStr">
        <is>
          <t>sholloway@vailwilliams.com</t>
        </is>
      </c>
      <c r="E286" t="inlineStr">
        <is>
          <t>Partner</t>
        </is>
      </c>
      <c r="F286">
        <f>HYPERLINK("https://app.apollo.io/#/people/5b8c7e6cf874f71090852914")</f>
        <v/>
      </c>
      <c r="G286" t="inlineStr">
        <is>
          <t>Vail Williams</t>
        </is>
      </c>
      <c r="H286">
        <f>HYPERLINK("https://app.apollo.io/#/organizations/5b133d63a6da98dcf7619d24")</f>
        <v/>
      </c>
      <c r="I286">
        <f>HYPERLINK("http://www.vailwilliams.com/")</f>
        <v/>
      </c>
      <c r="J286">
        <f>HYPERLINK("http://www.linkedin.com/company/vail-williams")</f>
        <v/>
      </c>
      <c r="K286">
        <f>HYPERLINK("https://twitter.com/vailwilliams")</f>
        <v/>
      </c>
      <c r="L286">
        <f>HYPERLINK("https://www.facebook.com/vailwilliams")</f>
        <v/>
      </c>
      <c r="M286" t="inlineStr">
        <is>
          <t>Redhill, United Kingdom</t>
        </is>
      </c>
      <c r="N286" t="inlineStr">
        <is>
          <t>200</t>
        </is>
      </c>
      <c r="O286" t="inlineStr">
        <is>
          <t>Commercial Real Estate</t>
        </is>
      </c>
      <c r="P286" t="inlineStr">
        <is>
          <t>real estate,real estate agents</t>
        </is>
      </c>
      <c r="Q286" t="inlineStr">
        <is>
          <t>+442035890080</t>
        </is>
      </c>
    </row>
    <row r="287">
      <c r="A287" t="inlineStr">
        <is>
          <t>54a6371f74686938ac3958cb</t>
        </is>
      </c>
      <c r="B287" t="inlineStr">
        <is>
          <t>Roderick Mackay</t>
        </is>
      </c>
      <c r="C287">
        <f>HYPERLINK("http://www.linkedin.com/in/roderick-mackay-10701226")</f>
        <v/>
      </c>
      <c r="D287" t="inlineStr">
        <is>
          <t>roderick.mackay@acrellp.com</t>
        </is>
      </c>
      <c r="E287" t="inlineStr">
        <is>
          <t>Partner</t>
        </is>
      </c>
      <c r="F287">
        <f>HYPERLINK("https://app.apollo.io/#/people/54a6371f74686938ac3958cb")</f>
        <v/>
      </c>
      <c r="G287" t="inlineStr">
        <is>
          <t>ACRE Capital Real Estate LLP</t>
        </is>
      </c>
      <c r="H287">
        <f>HYPERLINK("https://app.apollo.io/#/organizations/5a9ce1b7a6da98d997753668")</f>
        <v/>
      </c>
      <c r="I287">
        <f>HYPERLINK("http://www.acrellp.com/")</f>
        <v/>
      </c>
      <c r="J287">
        <f>HYPERLINK("http://www.linkedin.com/company/acre-capital-real-estate-llp")</f>
        <v/>
      </c>
      <c r="K287">
        <f>HYPERLINK("Not Found")</f>
        <v/>
      </c>
      <c r="L287">
        <f>HYPERLINK("Not Found")</f>
        <v/>
      </c>
      <c r="M287" t="inlineStr">
        <is>
          <t>London, United Kingdom</t>
        </is>
      </c>
      <c r="N287" t="inlineStr">
        <is>
          <t>20</t>
        </is>
      </c>
      <c r="O287" t="inlineStr">
        <is>
          <t>Commercial Real Estate</t>
        </is>
      </c>
      <c r="P287" t="inlineStr">
        <is>
          <t>commercial real estate,business space investment</t>
        </is>
      </c>
      <c r="Q287" t="inlineStr">
        <is>
          <t>+442039034368</t>
        </is>
      </c>
    </row>
    <row r="288">
      <c r="A288" t="inlineStr">
        <is>
          <t>60a55036bf04e70001cb5384</t>
        </is>
      </c>
      <c r="B288" t="inlineStr">
        <is>
          <t>Robert Dales</t>
        </is>
      </c>
      <c r="C288">
        <f>HYPERLINK("http://www.linkedin.com/in/rob-dales-62a5bb17")</f>
        <v/>
      </c>
      <c r="D288" t="inlineStr">
        <is>
          <t>rdales@klmretail.com</t>
        </is>
      </c>
      <c r="E288" t="inlineStr">
        <is>
          <t>Partner</t>
        </is>
      </c>
      <c r="F288">
        <f>HYPERLINK("https://app.apollo.io/#/people/60a55036bf04e70001cb5384")</f>
        <v/>
      </c>
      <c r="G288" t="inlineStr">
        <is>
          <t>KLM Real Estate</t>
        </is>
      </c>
      <c r="H288">
        <f>HYPERLINK("https://app.apollo.io/#/organizations/5d0a6ad6a3ae6121868fabd7")</f>
        <v/>
      </c>
      <c r="I288">
        <f>HYPERLINK("http://www.klm-re.com/")</f>
        <v/>
      </c>
      <c r="J288">
        <f>HYPERLINK("http://www.linkedin.com/company/klm-realestate")</f>
        <v/>
      </c>
      <c r="K288">
        <f>HYPERLINK("https://twitter.com/klmrealestate")</f>
        <v/>
      </c>
      <c r="L288">
        <f>HYPERLINK("Not Found")</f>
        <v/>
      </c>
      <c r="M288" t="inlineStr">
        <is>
          <t>West End, United Kingdom</t>
        </is>
      </c>
      <c r="N288" t="inlineStr">
        <is>
          <t>25</t>
        </is>
      </c>
      <c r="O288" t="inlineStr">
        <is>
          <t>Commercial Real Estate</t>
        </is>
      </c>
      <c r="P288" t="inlineStr">
        <is>
          <t>agency,investment,lease advisory,international</t>
        </is>
      </c>
      <c r="Q288" t="inlineStr">
        <is>
          <t>+442073173700</t>
        </is>
      </c>
    </row>
    <row r="289">
      <c r="A289" t="inlineStr">
        <is>
          <t>54ec205474686943110c2a55</t>
        </is>
      </c>
      <c r="B289" t="inlineStr">
        <is>
          <t>Joe Assalone</t>
        </is>
      </c>
      <c r="C289">
        <f>HYPERLINK("http://www.linkedin.com/in/joe-assalone-a7825215")</f>
        <v/>
      </c>
      <c r="D289" t="inlineStr">
        <is>
          <t>joe@pinkus.co.uk</t>
        </is>
      </c>
      <c r="E289" t="inlineStr">
        <is>
          <t>Partner</t>
        </is>
      </c>
      <c r="F289">
        <f>HYPERLINK("https://app.apollo.io/#/people/54ec205474686943110c2a55")</f>
        <v/>
      </c>
      <c r="G289" t="inlineStr">
        <is>
          <t>Robert Pinkus &amp; Co</t>
        </is>
      </c>
      <c r="H289">
        <f>HYPERLINK("https://app.apollo.io/#/organizations/54a12aae69702da220d32b02")</f>
        <v/>
      </c>
      <c r="I289">
        <f>HYPERLINK("http://www.pinkus.co.uk/")</f>
        <v/>
      </c>
      <c r="J289">
        <f>HYPERLINK("http://www.linkedin.com/company/robert-pinkus-management-services-ltd")</f>
        <v/>
      </c>
      <c r="K289">
        <f>HYPERLINK("https://twitter.com/robertpinkus")</f>
        <v/>
      </c>
      <c r="L289">
        <f>HYPERLINK("https://www.facebook.com/robert.pinkus.37")</f>
        <v/>
      </c>
      <c r="M289" t="inlineStr">
        <is>
          <t>Preston, United Kingdom</t>
        </is>
      </c>
      <c r="N289" t="inlineStr">
        <is>
          <t>4</t>
        </is>
      </c>
      <c r="O289" t="inlineStr">
        <is>
          <t>Commercial Real Estate</t>
        </is>
      </c>
      <c r="Q289" t="inlineStr">
        <is>
          <t>+441772769000</t>
        </is>
      </c>
    </row>
    <row r="290">
      <c r="A290" t="inlineStr">
        <is>
          <t>652bf1bdc06e490001ffa045</t>
        </is>
      </c>
      <c r="B290" t="inlineStr">
        <is>
          <t>Simon Lloyd</t>
        </is>
      </c>
      <c r="C290">
        <f>HYPERLINK("http://www.linkedin.com/in/simon-lloyd-1aa38622")</f>
        <v/>
      </c>
      <c r="D290" t="inlineStr">
        <is>
          <t>simon.lloyd@cushwake.com</t>
        </is>
      </c>
      <c r="E290" t="inlineStr">
        <is>
          <t>Partner</t>
        </is>
      </c>
      <c r="F290">
        <f>HYPERLINK("https://app.apollo.io/#/people/652bf1bdc06e490001ffa045")</f>
        <v/>
      </c>
      <c r="G290" t="inlineStr">
        <is>
          <t>Cushman &amp; Wakefield - Formerly DTZ</t>
        </is>
      </c>
      <c r="H290">
        <f>HYPERLINK("https://app.apollo.io/#/organizations/54a12ae469702d9548c73f02")</f>
        <v/>
      </c>
      <c r="I290">
        <f>HYPERLINK("Not Found")</f>
        <v/>
      </c>
      <c r="J290">
        <f>HYPERLINK("http://www.linkedin.com/company/dtz")</f>
        <v/>
      </c>
      <c r="K290">
        <f>HYPERLINK("Not Found")</f>
        <v/>
      </c>
      <c r="L290">
        <f>HYPERLINK("Not Found")</f>
        <v/>
      </c>
      <c r="M290" t="inlineStr">
        <is>
          <t>England, United Kingdom</t>
        </is>
      </c>
      <c r="N290" t="inlineStr">
        <is>
          <t>3,800</t>
        </is>
      </c>
      <c r="O290" t="inlineStr">
        <is>
          <t>Commercial Real Estate</t>
        </is>
      </c>
      <c r="P290" t="inlineStr">
        <is>
          <t>agency leasing,capital markets,consulting</t>
        </is>
      </c>
      <c r="Q290" t="inlineStr">
        <is>
          <t>(212)-841-7500</t>
        </is>
      </c>
    </row>
    <row r="291">
      <c r="A291" t="inlineStr">
        <is>
          <t>54a22a487468693fda9b7012</t>
        </is>
      </c>
      <c r="B291" t="inlineStr">
        <is>
          <t>Andrew Hardwick</t>
        </is>
      </c>
      <c r="C291">
        <f>HYPERLINK("http://www.linkedin.com/in/andrew-hardwick-b481bba")</f>
        <v/>
      </c>
      <c r="D291" t="inlineStr">
        <is>
          <t>Not Found</t>
        </is>
      </c>
      <c r="E291" t="inlineStr">
        <is>
          <t>Partner</t>
        </is>
      </c>
      <c r="F291">
        <f>HYPERLINK("https://app.apollo.io/#/people/54a22a487468693fda9b7012")</f>
        <v/>
      </c>
      <c r="G291" t="inlineStr">
        <is>
          <t>Carter Jonas LLP</t>
        </is>
      </c>
      <c r="H291">
        <f>HYPERLINK("https://app.apollo.io/#/organizations/556d639e73696412430a0301")</f>
        <v/>
      </c>
      <c r="I291">
        <f>HYPERLINK("Not Found")</f>
        <v/>
      </c>
      <c r="J291">
        <f>HYPERLINK("http://www.linkedin.com/company/williams-gunter-hardwick")</f>
        <v/>
      </c>
      <c r="K291">
        <f>HYPERLINK("Not Found")</f>
        <v/>
      </c>
      <c r="L291">
        <f>HYPERLINK("Not Found")</f>
        <v/>
      </c>
      <c r="M291" t="inlineStr">
        <is>
          <t>Bristol, United Kingdom</t>
        </is>
      </c>
      <c r="N291" t="inlineStr">
        <is>
          <t>5</t>
        </is>
      </c>
      <c r="O291" t="inlineStr">
        <is>
          <t>Commercial Real Estate</t>
        </is>
      </c>
      <c r="P291" t="inlineStr">
        <is>
          <t>retail agency,industrial agency,office agency</t>
        </is>
      </c>
      <c r="Q291" t="inlineStr">
        <is>
          <t>Not Found</t>
        </is>
      </c>
    </row>
    <row r="292">
      <c r="A292" t="inlineStr">
        <is>
          <t>63a48da6dda8f20001aef72c</t>
        </is>
      </c>
      <c r="B292" t="inlineStr">
        <is>
          <t>Tim Howlings</t>
        </is>
      </c>
      <c r="C292">
        <f>HYPERLINK("http://www.linkedin.com/in/timhowlings")</f>
        <v/>
      </c>
      <c r="D292" t="inlineStr">
        <is>
          <t>tim.howlings@brasierfreeth.com</t>
        </is>
      </c>
      <c r="E292" t="inlineStr">
        <is>
          <t>Partner</t>
        </is>
      </c>
      <c r="F292">
        <f>HYPERLINK("https://app.apollo.io/#/people/63a48da6dda8f20001aef72c")</f>
        <v/>
      </c>
      <c r="G292" t="inlineStr">
        <is>
          <t>Brasier Freeth</t>
        </is>
      </c>
      <c r="H292">
        <f>HYPERLINK("https://app.apollo.io/#/organizations/54a11dd569702d8ccc122e01")</f>
        <v/>
      </c>
      <c r="I292">
        <f>HYPERLINK("http://www.brasierfreeth.com/")</f>
        <v/>
      </c>
      <c r="J292">
        <f>HYPERLINK("http://www.linkedin.com/company/brasier-freeth-llp")</f>
        <v/>
      </c>
      <c r="K292">
        <f>HYPERLINK("https://twitter.com/brasierfreeth")</f>
        <v/>
      </c>
      <c r="L292">
        <f>HYPERLINK("Not Found")</f>
        <v/>
      </c>
      <c r="M292" t="inlineStr">
        <is>
          <t>Watford, United Kingdom</t>
        </is>
      </c>
      <c r="N292" t="inlineStr">
        <is>
          <t>37</t>
        </is>
      </c>
      <c r="O292" t="inlineStr">
        <is>
          <t>Commercial Real Estate</t>
        </is>
      </c>
      <c r="P292" t="inlineStr">
        <is>
          <t>commercial property acquisitions,disposals</t>
        </is>
      </c>
      <c r="Q292" t="inlineStr">
        <is>
          <t>+441442263033</t>
        </is>
      </c>
    </row>
    <row r="293">
      <c r="A293" t="inlineStr">
        <is>
          <t>5ae56587a6da98d3ad65c733</t>
        </is>
      </c>
      <c r="B293" t="inlineStr">
        <is>
          <t>Mark Robinson</t>
        </is>
      </c>
      <c r="C293">
        <f>HYPERLINK("http://www.linkedin.com/in/mark-robinson-b8760413")</f>
        <v/>
      </c>
      <c r="D293" t="inlineStr">
        <is>
          <t>mbr@robinsonlayer.co.uk</t>
        </is>
      </c>
      <c r="E293" t="inlineStr">
        <is>
          <t>Partner</t>
        </is>
      </c>
      <c r="F293">
        <f>HYPERLINK("https://app.apollo.io/#/people/5ae56587a6da98d3ad65c733")</f>
        <v/>
      </c>
      <c r="G293" t="inlineStr">
        <is>
          <t>Robinson Layer LLP</t>
        </is>
      </c>
      <c r="H293">
        <f>HYPERLINK("https://app.apollo.io/#/organizations/54a25dae7468692e712d9e1d")</f>
        <v/>
      </c>
      <c r="I293">
        <f>HYPERLINK("http://www.robinsonlayer.co.uk/")</f>
        <v/>
      </c>
      <c r="J293">
        <f>HYPERLINK("http://www.linkedin.com/company/robinson-layer-llp")</f>
        <v/>
      </c>
      <c r="K293">
        <f>HYPERLINK("Not Found")</f>
        <v/>
      </c>
      <c r="L293">
        <f>HYPERLINK("Not Found")</f>
        <v/>
      </c>
      <c r="M293" t="inlineStr">
        <is>
          <t>Cambridge, United Kingdom</t>
        </is>
      </c>
      <c r="N293" t="inlineStr">
        <is>
          <t>3</t>
        </is>
      </c>
      <c r="O293" t="inlineStr">
        <is>
          <t>Commercial Real Estate</t>
        </is>
      </c>
      <c r="P293" t="inlineStr">
        <is>
          <t>landlord tenant,rating amp valuation</t>
        </is>
      </c>
      <c r="Q293" t="inlineStr">
        <is>
          <t>+441223300966</t>
        </is>
      </c>
    </row>
    <row r="294">
      <c r="A294" t="inlineStr">
        <is>
          <t>54a3f6e07468693442056f21</t>
        </is>
      </c>
      <c r="B294" t="inlineStr">
        <is>
          <t>Hannah Read</t>
        </is>
      </c>
      <c r="C294">
        <f>HYPERLINK("http://www.linkedin.com/in/hannah-read-a85aa733")</f>
        <v/>
      </c>
      <c r="D294" t="inlineStr">
        <is>
          <t>hannah@tavistockbow.com</t>
        </is>
      </c>
      <c r="E294" t="inlineStr">
        <is>
          <t>Partner</t>
        </is>
      </c>
      <c r="F294">
        <f>HYPERLINK("https://app.apollo.io/#/people/54a3f6e07468693442056f21")</f>
        <v/>
      </c>
      <c r="G294" t="inlineStr">
        <is>
          <t>Tavistock Bow</t>
        </is>
      </c>
      <c r="H294">
        <f>HYPERLINK("https://app.apollo.io/#/organizations/556d383c73696411bce0b700")</f>
        <v/>
      </c>
      <c r="I294">
        <f>HYPERLINK("http://www.tavistockbow.com/")</f>
        <v/>
      </c>
      <c r="J294">
        <f>HYPERLINK("http://www.linkedin.com/company/tavistock-bow")</f>
        <v/>
      </c>
      <c r="K294">
        <f>HYPERLINK("https://twitter.com/tavistockbow")</f>
        <v/>
      </c>
      <c r="L294">
        <f>HYPERLINK("https://www.facebook.com/tavistockbow")</f>
        <v/>
      </c>
      <c r="M294" t="inlineStr">
        <is>
          <t>London, United Kingdom</t>
        </is>
      </c>
      <c r="N294" t="inlineStr">
        <is>
          <t>9</t>
        </is>
      </c>
      <c r="O294" t="inlineStr">
        <is>
          <t>Commercial Real Estate</t>
        </is>
      </c>
      <c r="P294" t="inlineStr">
        <is>
          <t>commercial real estate,residential property</t>
        </is>
      </c>
      <c r="Q294" t="inlineStr">
        <is>
          <t>+442074772177</t>
        </is>
      </c>
    </row>
    <row r="295">
      <c r="A295" t="inlineStr">
        <is>
          <t>54a477e87468693209fdd849</t>
        </is>
      </c>
      <c r="B295" t="inlineStr">
        <is>
          <t>Mike Needham</t>
        </is>
      </c>
      <c r="C295">
        <f>HYPERLINK("http://www.linkedin.com/in/mike-needham-0b8b8618")</f>
        <v/>
      </c>
      <c r="D295" t="inlineStr">
        <is>
          <t>mike.needham@kimmre.com</t>
        </is>
      </c>
      <c r="E295" t="inlineStr">
        <is>
          <t>Partner</t>
        </is>
      </c>
      <c r="F295">
        <f>HYPERLINK("https://app.apollo.io/#/people/54a477e87468693209fdd849")</f>
        <v/>
      </c>
      <c r="G295" t="inlineStr">
        <is>
          <t>Kimmre</t>
        </is>
      </c>
      <c r="H295">
        <f>HYPERLINK("https://app.apollo.io/#/organizations/5ed0573ff110830001b4bce0")</f>
        <v/>
      </c>
      <c r="I295">
        <f>HYPERLINK("http://www.kimmre.com/")</f>
        <v/>
      </c>
      <c r="J295">
        <f>HYPERLINK("http://www.linkedin.com/company/kimmre")</f>
        <v/>
      </c>
      <c r="K295">
        <f>HYPERLINK("Not Found")</f>
        <v/>
      </c>
      <c r="L295">
        <f>HYPERLINK("Not Found")</f>
        <v/>
      </c>
      <c r="M295" t="inlineStr">
        <is>
          <t>West End, United Kingdom</t>
        </is>
      </c>
      <c r="N295" t="inlineStr">
        <is>
          <t>18</t>
        </is>
      </c>
      <c r="O295" t="inlineStr">
        <is>
          <t>Commercial Real Estate</t>
        </is>
      </c>
      <c r="P295" t="inlineStr">
        <is>
          <t>commercial real estate,investment,development</t>
        </is>
      </c>
      <c r="Q295" t="inlineStr">
        <is>
          <t>+442079526100</t>
        </is>
      </c>
    </row>
    <row r="296">
      <c r="A296" t="inlineStr">
        <is>
          <t>54a5394c74686932090ed386</t>
        </is>
      </c>
      <c r="B296" t="inlineStr">
        <is>
          <t>Paul Gummer</t>
        </is>
      </c>
      <c r="C296">
        <f>HYPERLINK("http://www.linkedin.com/in/paul-gummer-966a3314")</f>
        <v/>
      </c>
      <c r="D296" t="inlineStr">
        <is>
          <t>paul.gummer@cushwake.com</t>
        </is>
      </c>
      <c r="E296" t="inlineStr">
        <is>
          <t>Partner</t>
        </is>
      </c>
      <c r="F296">
        <f>HYPERLINK("https://app.apollo.io/#/people/54a5394c74686932090ed386")</f>
        <v/>
      </c>
      <c r="G296" t="inlineStr">
        <is>
          <t>Cushman &amp; Wakefield - Formerly DTZ</t>
        </is>
      </c>
      <c r="H296">
        <f>HYPERLINK("https://app.apollo.io/#/organizations/54a12ae469702d9548c73f02")</f>
        <v/>
      </c>
      <c r="I296">
        <f>HYPERLINK("Not Found")</f>
        <v/>
      </c>
      <c r="J296">
        <f>HYPERLINK("http://www.linkedin.com/company/dtz")</f>
        <v/>
      </c>
      <c r="K296">
        <f>HYPERLINK("Not Found")</f>
        <v/>
      </c>
      <c r="L296">
        <f>HYPERLINK("Not Found")</f>
        <v/>
      </c>
      <c r="M296" t="inlineStr">
        <is>
          <t>London, United Kingdom</t>
        </is>
      </c>
      <c r="N296" t="inlineStr">
        <is>
          <t>3,800</t>
        </is>
      </c>
      <c r="O296" t="inlineStr">
        <is>
          <t>Commercial Real Estate</t>
        </is>
      </c>
      <c r="P296" t="inlineStr">
        <is>
          <t>agency leasing,capital markets,consulting</t>
        </is>
      </c>
      <c r="Q296" t="inlineStr">
        <is>
          <t>(212)-841-7500</t>
        </is>
      </c>
    </row>
    <row r="297">
      <c r="A297" t="inlineStr">
        <is>
          <t>54a4efb37468693676550f6f</t>
        </is>
      </c>
      <c r="B297" t="inlineStr">
        <is>
          <t>Matthew Beech</t>
        </is>
      </c>
      <c r="C297">
        <f>HYPERLINK("http://www.linkedin.com/in/matthew-beech-24b56334")</f>
        <v/>
      </c>
      <c r="D297" t="inlineStr">
        <is>
          <t>mbeech@vailwilliams.com</t>
        </is>
      </c>
      <c r="E297" t="inlineStr">
        <is>
          <t>Partner</t>
        </is>
      </c>
      <c r="F297">
        <f>HYPERLINK("https://app.apollo.io/#/people/54a4efb37468693676550f6f")</f>
        <v/>
      </c>
      <c r="G297" t="inlineStr">
        <is>
          <t>Vail Williams</t>
        </is>
      </c>
      <c r="H297">
        <f>HYPERLINK("https://app.apollo.io/#/organizations/5b133d63a6da98dcf7619d24")</f>
        <v/>
      </c>
      <c r="I297">
        <f>HYPERLINK("http://www.vailwilliams.com/")</f>
        <v/>
      </c>
      <c r="J297">
        <f>HYPERLINK("http://www.linkedin.com/company/vail-williams")</f>
        <v/>
      </c>
      <c r="K297">
        <f>HYPERLINK("https://twitter.com/vailwilliams")</f>
        <v/>
      </c>
      <c r="L297">
        <f>HYPERLINK("https://www.facebook.com/vailwilliams")</f>
        <v/>
      </c>
      <c r="M297" t="inlineStr">
        <is>
          <t>Reading, United Kingdom</t>
        </is>
      </c>
      <c r="N297" t="inlineStr">
        <is>
          <t>200</t>
        </is>
      </c>
      <c r="O297" t="inlineStr">
        <is>
          <t>Commercial Real Estate</t>
        </is>
      </c>
      <c r="P297" t="inlineStr">
        <is>
          <t>real estate,real estate agents</t>
        </is>
      </c>
      <c r="Q297" t="inlineStr">
        <is>
          <t>+442035890080</t>
        </is>
      </c>
    </row>
    <row r="298">
      <c r="A298" t="inlineStr">
        <is>
          <t>54a531c97468693442cc6784</t>
        </is>
      </c>
      <c r="B298" t="inlineStr">
        <is>
          <t>James Mordecai</t>
        </is>
      </c>
      <c r="C298">
        <f>HYPERLINK("http://www.linkedin.com/in/james-mordecai-b8516b1b")</f>
        <v/>
      </c>
      <c r="D298" t="inlineStr">
        <is>
          <t>jamesmordecai@hrt.uk.com</t>
        </is>
      </c>
      <c r="E298" t="inlineStr">
        <is>
          <t>Partner</t>
        </is>
      </c>
      <c r="F298">
        <f>HYPERLINK("https://app.apollo.io/#/people/54a531c97468693442cc6784")</f>
        <v/>
      </c>
      <c r="G298" t="inlineStr">
        <is>
          <t>Herbert R Thomas</t>
        </is>
      </c>
      <c r="H298">
        <f>HYPERLINK("https://app.apollo.io/#/organizations/54a242337468693cddfdad1a")</f>
        <v/>
      </c>
      <c r="I298">
        <f>HYPERLINK("http://www.hrt.uk.com/")</f>
        <v/>
      </c>
      <c r="J298">
        <f>HYPERLINK("http://www.linkedin.com/company/herbert-r-thomas")</f>
        <v/>
      </c>
      <c r="K298">
        <f>HYPERLINK("https://twitter.com/HerbertRThomas")</f>
        <v/>
      </c>
      <c r="L298">
        <f>HYPERLINK("https://www.facebook.com/Herbert-R-Thomas-247651058594338/")</f>
        <v/>
      </c>
      <c r="M298" t="inlineStr">
        <is>
          <t>Cardiff, United Kingdom</t>
        </is>
      </c>
      <c r="N298" t="inlineStr">
        <is>
          <t>34</t>
        </is>
      </c>
      <c r="O298" t="inlineStr">
        <is>
          <t>Commercial Real Estate</t>
        </is>
      </c>
      <c r="P298" t="inlineStr">
        <is>
          <t>surveying,valuers,estate agents,agriculture</t>
        </is>
      </c>
      <c r="Q298" t="inlineStr">
        <is>
          <t>+441446772911</t>
        </is>
      </c>
    </row>
    <row r="299">
      <c r="A299" t="inlineStr">
        <is>
          <t>5b19cf6ba6da98e112f3ebf1</t>
        </is>
      </c>
      <c r="B299" t="inlineStr">
        <is>
          <t>Stephen Hobbs</t>
        </is>
      </c>
      <c r="C299">
        <f>HYPERLINK("http://www.linkedin.com/in/stephen-hobbs-38ba8950")</f>
        <v/>
      </c>
      <c r="D299" t="inlineStr">
        <is>
          <t>shobbs@vailwilliams.com</t>
        </is>
      </c>
      <c r="E299" t="inlineStr">
        <is>
          <t>Partner</t>
        </is>
      </c>
      <c r="F299">
        <f>HYPERLINK("https://app.apollo.io/#/people/5b19cf6ba6da98e112f3ebf1")</f>
        <v/>
      </c>
      <c r="G299" t="inlineStr">
        <is>
          <t>Vail Williams</t>
        </is>
      </c>
      <c r="H299">
        <f>HYPERLINK("https://app.apollo.io/#/organizations/5b133d63a6da98dcf7619d24")</f>
        <v/>
      </c>
      <c r="I299">
        <f>HYPERLINK("http://www.vailwilliams.com/")</f>
        <v/>
      </c>
      <c r="J299">
        <f>HYPERLINK("http://www.linkedin.com/company/vail-williams")</f>
        <v/>
      </c>
      <c r="K299">
        <f>HYPERLINK("https://twitter.com/vailwilliams")</f>
        <v/>
      </c>
      <c r="L299">
        <f>HYPERLINK("https://www.facebook.com/vailwilliams")</f>
        <v/>
      </c>
      <c r="M299" t="inlineStr">
        <is>
          <t>England, United Kingdom</t>
        </is>
      </c>
      <c r="N299" t="inlineStr">
        <is>
          <t>200</t>
        </is>
      </c>
      <c r="O299" t="inlineStr">
        <is>
          <t>Commercial Real Estate</t>
        </is>
      </c>
      <c r="P299" t="inlineStr">
        <is>
          <t>real estate,real estate agents</t>
        </is>
      </c>
      <c r="Q299" t="inlineStr">
        <is>
          <t>+442035890080</t>
        </is>
      </c>
    </row>
    <row r="300">
      <c r="A300" t="inlineStr">
        <is>
          <t>54a47e307468692fa212184c</t>
        </is>
      </c>
      <c r="B300" t="inlineStr">
        <is>
          <t>Simon Higgins</t>
        </is>
      </c>
      <c r="C300">
        <f>HYPERLINK("http://www.linkedin.com/in/simon-higgins-34139713")</f>
        <v/>
      </c>
      <c r="D300" t="inlineStr">
        <is>
          <t>simon.higgins@levyrealestate.co.uk</t>
        </is>
      </c>
      <c r="E300" t="inlineStr">
        <is>
          <t>Partner</t>
        </is>
      </c>
      <c r="F300">
        <f>HYPERLINK("https://app.apollo.io/#/people/54a47e307468692fa212184c")</f>
        <v/>
      </c>
      <c r="G300" t="inlineStr">
        <is>
          <t>Levy Real Estate</t>
        </is>
      </c>
      <c r="H300">
        <f>HYPERLINK("https://app.apollo.io/#/organizations/5f870b4f18523f01127f1d13")</f>
        <v/>
      </c>
      <c r="I300">
        <f>HYPERLINK("Not Found")</f>
        <v/>
      </c>
      <c r="J300">
        <f>HYPERLINK("http://www.linkedin.com/company/levyrealestate")</f>
        <v/>
      </c>
      <c r="K300">
        <f>HYPERLINK("Not Found")</f>
        <v/>
      </c>
      <c r="L300">
        <f>HYPERLINK("Not Found")</f>
        <v/>
      </c>
      <c r="M300" t="inlineStr">
        <is>
          <t>London, United Kingdom</t>
        </is>
      </c>
      <c r="N300" t="inlineStr">
        <is>
          <t>50</t>
        </is>
      </c>
      <c r="O300" t="inlineStr">
        <is>
          <t>Commercial Real Estate</t>
        </is>
      </c>
      <c r="Q300" t="inlineStr">
        <is>
          <t>+442077470125</t>
        </is>
      </c>
    </row>
    <row r="301">
      <c r="A301" t="inlineStr">
        <is>
          <t>54a43ef37468693676831f38</t>
        </is>
      </c>
      <c r="B301" t="inlineStr">
        <is>
          <t>Josh Beebee</t>
        </is>
      </c>
      <c r="C301">
        <f>HYPERLINK("http://www.linkedin.com/in/josh-beebee-58723325")</f>
        <v/>
      </c>
      <c r="D301" t="inlineStr">
        <is>
          <t>josh.beebee@kimmre.com</t>
        </is>
      </c>
      <c r="E301" t="inlineStr">
        <is>
          <t>Partner</t>
        </is>
      </c>
      <c r="F301">
        <f>HYPERLINK("https://app.apollo.io/#/people/54a43ef37468693676831f38")</f>
        <v/>
      </c>
      <c r="G301" t="inlineStr">
        <is>
          <t>Kimmre</t>
        </is>
      </c>
      <c r="H301">
        <f>HYPERLINK("https://app.apollo.io/#/organizations/5ed0573ff110830001b4bce0")</f>
        <v/>
      </c>
      <c r="I301">
        <f>HYPERLINK("http://www.kimmre.com/")</f>
        <v/>
      </c>
      <c r="J301">
        <f>HYPERLINK("http://www.linkedin.com/company/kimmre")</f>
        <v/>
      </c>
      <c r="K301">
        <f>HYPERLINK("Not Found")</f>
        <v/>
      </c>
      <c r="L301">
        <f>HYPERLINK("Not Found")</f>
        <v/>
      </c>
      <c r="M301" t="inlineStr">
        <is>
          <t>London, United Kingdom</t>
        </is>
      </c>
      <c r="N301" t="inlineStr">
        <is>
          <t>18</t>
        </is>
      </c>
      <c r="O301" t="inlineStr">
        <is>
          <t>Commercial Real Estate</t>
        </is>
      </c>
      <c r="P301" t="inlineStr">
        <is>
          <t>commercial real estate,investment,development</t>
        </is>
      </c>
      <c r="Q301" t="inlineStr">
        <is>
          <t>+442079526100</t>
        </is>
      </c>
    </row>
    <row r="302">
      <c r="A302" t="inlineStr">
        <is>
          <t>54a45ef77468693b8c271742</t>
        </is>
      </c>
      <c r="B302" t="inlineStr">
        <is>
          <t>Mike Burden</t>
        </is>
      </c>
      <c r="C302">
        <f>HYPERLINK("http://www.linkedin.com/in/mburden")</f>
        <v/>
      </c>
      <c r="D302" t="inlineStr">
        <is>
          <t>mike.burden@kimmre.com</t>
        </is>
      </c>
      <c r="E302" t="inlineStr">
        <is>
          <t>Partner</t>
        </is>
      </c>
      <c r="F302">
        <f>HYPERLINK("https://app.apollo.io/#/people/54a45ef77468693b8c271742")</f>
        <v/>
      </c>
      <c r="G302" t="inlineStr">
        <is>
          <t>Kimmre</t>
        </is>
      </c>
      <c r="H302">
        <f>HYPERLINK("https://app.apollo.io/#/organizations/5ed0573ff110830001b4bce0")</f>
        <v/>
      </c>
      <c r="I302">
        <f>HYPERLINK("http://www.kimmre.com/")</f>
        <v/>
      </c>
      <c r="J302">
        <f>HYPERLINK("http://www.linkedin.com/company/kimmre")</f>
        <v/>
      </c>
      <c r="K302">
        <f>HYPERLINK("Not Found")</f>
        <v/>
      </c>
      <c r="L302">
        <f>HYPERLINK("Not Found")</f>
        <v/>
      </c>
      <c r="M302" t="inlineStr">
        <is>
          <t>London, United Kingdom</t>
        </is>
      </c>
      <c r="N302" t="inlineStr">
        <is>
          <t>18</t>
        </is>
      </c>
      <c r="O302" t="inlineStr">
        <is>
          <t>Commercial Real Estate</t>
        </is>
      </c>
      <c r="P302" t="inlineStr">
        <is>
          <t>commercial real estate,investment,development</t>
        </is>
      </c>
      <c r="Q302" t="inlineStr">
        <is>
          <t>+442079526100</t>
        </is>
      </c>
    </row>
    <row r="303">
      <c r="A303" t="inlineStr">
        <is>
          <t>6010ba3d3d79410001b7b466</t>
        </is>
      </c>
      <c r="B303" t="inlineStr">
        <is>
          <t>Craig Simpson</t>
        </is>
      </c>
      <c r="C303">
        <f>HYPERLINK("http://www.linkedin.com/in/craig-simpson-71a16844")</f>
        <v/>
      </c>
      <c r="D303" t="inlineStr">
        <is>
          <t>craig@tavistockbow.com</t>
        </is>
      </c>
      <c r="E303" t="inlineStr">
        <is>
          <t>Partner</t>
        </is>
      </c>
      <c r="F303">
        <f>HYPERLINK("https://app.apollo.io/#/people/6010ba3d3d79410001b7b466")</f>
        <v/>
      </c>
      <c r="G303" t="inlineStr">
        <is>
          <t>Tavistock Bow</t>
        </is>
      </c>
      <c r="H303">
        <f>HYPERLINK("https://app.apollo.io/#/organizations/556d383c73696411bce0b700")</f>
        <v/>
      </c>
      <c r="I303">
        <f>HYPERLINK("http://www.tavistockbow.com/")</f>
        <v/>
      </c>
      <c r="J303">
        <f>HYPERLINK("http://www.linkedin.com/company/tavistock-bow")</f>
        <v/>
      </c>
      <c r="K303">
        <f>HYPERLINK("https://twitter.com/tavistockbow")</f>
        <v/>
      </c>
      <c r="L303">
        <f>HYPERLINK("https://www.facebook.com/tavistockbow")</f>
        <v/>
      </c>
      <c r="M303" t="inlineStr">
        <is>
          <t>United Kingdom</t>
        </is>
      </c>
      <c r="N303" t="inlineStr">
        <is>
          <t>9</t>
        </is>
      </c>
      <c r="O303" t="inlineStr">
        <is>
          <t>Commercial Real Estate</t>
        </is>
      </c>
      <c r="P303" t="inlineStr">
        <is>
          <t>commercial real estate,residential property</t>
        </is>
      </c>
      <c r="Q303" t="inlineStr">
        <is>
          <t>+442074772177</t>
        </is>
      </c>
    </row>
    <row r="304">
      <c r="A304" t="inlineStr">
        <is>
          <t>54a2a56774686935be3f4732</t>
        </is>
      </c>
      <c r="B304" t="inlineStr">
        <is>
          <t>Dale Henry</t>
        </is>
      </c>
      <c r="C304">
        <f>HYPERLINK("http://www.linkedin.com/in/dale-henry-b52a7027")</f>
        <v/>
      </c>
      <c r="D304" t="inlineStr">
        <is>
          <t>dale@singervielle.co.uk</t>
        </is>
      </c>
      <c r="E304" t="inlineStr">
        <is>
          <t>Partner</t>
        </is>
      </c>
      <c r="F304">
        <f>HYPERLINK("https://app.apollo.io/#/people/54a2a56774686935be3f4732")</f>
        <v/>
      </c>
      <c r="G304" t="inlineStr">
        <is>
          <t>Singer Vielle</t>
        </is>
      </c>
      <c r="H304">
        <f>HYPERLINK("https://app.apollo.io/#/organizations/5ed2773562004500011ba012")</f>
        <v/>
      </c>
      <c r="I304">
        <f>HYPERLINK("http://www.singervielle.com/")</f>
        <v/>
      </c>
      <c r="J304">
        <f>HYPERLINK("http://www.linkedin.com/company/singer-vielle")</f>
        <v/>
      </c>
      <c r="K304">
        <f>HYPERLINK("https://twitter.com/SingerVielle")</f>
        <v/>
      </c>
      <c r="L304">
        <f>HYPERLINK("https://facebook.com/SingerVielle")</f>
        <v/>
      </c>
      <c r="M304" t="inlineStr">
        <is>
          <t>London, United Kingdom</t>
        </is>
      </c>
      <c r="N304" t="inlineStr">
        <is>
          <t>10</t>
        </is>
      </c>
      <c r="O304" t="inlineStr">
        <is>
          <t>Commercial Real Estate</t>
        </is>
      </c>
      <c r="P304" t="inlineStr">
        <is>
          <t>investment,sales,acquisitions,marketing</t>
        </is>
      </c>
      <c r="Q304" t="inlineStr">
        <is>
          <t>+442079357200</t>
        </is>
      </c>
    </row>
    <row r="305">
      <c r="A305" t="inlineStr">
        <is>
          <t>609bb9675be55d0001906094</t>
        </is>
      </c>
      <c r="B305" t="inlineStr">
        <is>
          <t>Roger Holmes</t>
        </is>
      </c>
      <c r="C305">
        <f>HYPERLINK("http://www.linkedin.com/in/roger-holmes-mrics")</f>
        <v/>
      </c>
      <c r="D305" t="inlineStr">
        <is>
          <t>roger@xix.co.uk</t>
        </is>
      </c>
      <c r="E305" t="inlineStr">
        <is>
          <t>Partner</t>
        </is>
      </c>
      <c r="F305">
        <f>HYPERLINK("https://app.apollo.io/#/people/609bb9675be55d0001906094")</f>
        <v/>
      </c>
      <c r="G305" t="inlineStr">
        <is>
          <t>XIX</t>
        </is>
      </c>
      <c r="H305">
        <f>HYPERLINK("https://app.apollo.io/#/organizations/6284d176d9089700a5fc9878")</f>
        <v/>
      </c>
      <c r="I305">
        <f>HYPERLINK("http://www.xix.co.uk/")</f>
        <v/>
      </c>
      <c r="J305">
        <f>HYPERLINK("http://www.linkedin.com/company/xixlondon")</f>
        <v/>
      </c>
      <c r="K305">
        <f>HYPERLINK("https://twitter.com/xixlondon")</f>
        <v/>
      </c>
      <c r="L305">
        <f>HYPERLINK("Not Found")</f>
        <v/>
      </c>
      <c r="M305" t="inlineStr">
        <is>
          <t>London, United Kingdom</t>
        </is>
      </c>
      <c r="N305" t="inlineStr">
        <is>
          <t>7</t>
        </is>
      </c>
      <c r="O305" t="inlineStr">
        <is>
          <t>Commercial Real Estate</t>
        </is>
      </c>
      <c r="P305" t="inlineStr">
        <is>
          <t>office search,commercial office agent</t>
        </is>
      </c>
      <c r="Q305" t="inlineStr">
        <is>
          <t>+447525480776</t>
        </is>
      </c>
    </row>
    <row r="306">
      <c r="A306" t="inlineStr">
        <is>
          <t>62c9318fdbfdf2000175e8bc</t>
        </is>
      </c>
      <c r="B306" t="inlineStr">
        <is>
          <t>Rupert Guy</t>
        </is>
      </c>
      <c r="C306">
        <f>HYPERLINK("http://www.linkedin.com/in/rupert-guy-063657155")</f>
        <v/>
      </c>
      <c r="D306" t="inlineStr">
        <is>
          <t>rguy@klmretail.com</t>
        </is>
      </c>
      <c r="E306" t="inlineStr">
        <is>
          <t>Partner</t>
        </is>
      </c>
      <c r="F306">
        <f>HYPERLINK("https://app.apollo.io/#/people/62c9318fdbfdf2000175e8bc")</f>
        <v/>
      </c>
      <c r="G306" t="inlineStr">
        <is>
          <t>KLM Real Estate</t>
        </is>
      </c>
      <c r="H306">
        <f>HYPERLINK("https://app.apollo.io/#/accounts/6578bee1ccf69c01ae54f83f")</f>
        <v/>
      </c>
      <c r="I306">
        <f>HYPERLINK("http://www.klm-re.com/")</f>
        <v/>
      </c>
      <c r="J306">
        <f>HYPERLINK("http://www.linkedin.com/company/klm-realestate")</f>
        <v/>
      </c>
      <c r="K306">
        <f>HYPERLINK("https://twitter.com/klmrealestate")</f>
        <v/>
      </c>
      <c r="L306">
        <f>HYPERLINK("Not Found")</f>
        <v/>
      </c>
      <c r="M306" t="inlineStr">
        <is>
          <t>Slough, United Kingdom</t>
        </is>
      </c>
      <c r="N306" t="inlineStr">
        <is>
          <t>25</t>
        </is>
      </c>
      <c r="O306" t="inlineStr">
        <is>
          <t>Commercial Real Estate</t>
        </is>
      </c>
      <c r="P306" t="inlineStr">
        <is>
          <t>agency,investment,lease advisory,international</t>
        </is>
      </c>
      <c r="Q306" t="inlineStr">
        <is>
          <t>+442073173700</t>
        </is>
      </c>
    </row>
    <row r="307">
      <c r="A307" t="inlineStr">
        <is>
          <t>54a806547468696829045c5c</t>
        </is>
      </c>
      <c r="B307" t="inlineStr">
        <is>
          <t>Jeremy Firth</t>
        </is>
      </c>
      <c r="C307">
        <f>HYPERLINK("http://www.linkedin.com/in/jeremy-firth")</f>
        <v/>
      </c>
      <c r="D307" t="inlineStr">
        <is>
          <t>jfirth@vailwilliams.com</t>
        </is>
      </c>
      <c r="E307" t="inlineStr">
        <is>
          <t>Partner</t>
        </is>
      </c>
      <c r="F307">
        <f>HYPERLINK("https://app.apollo.io/#/people/54a806547468696829045c5c")</f>
        <v/>
      </c>
      <c r="G307" t="inlineStr">
        <is>
          <t>Vail Williams</t>
        </is>
      </c>
      <c r="H307">
        <f>HYPERLINK("https://app.apollo.io/#/accounts/6578bf02ccf69c02cc54f0ad")</f>
        <v/>
      </c>
      <c r="I307">
        <f>HYPERLINK("http://www.vailwilliams.com/")</f>
        <v/>
      </c>
      <c r="J307">
        <f>HYPERLINK("http://www.linkedin.com/company/vail-williams")</f>
        <v/>
      </c>
      <c r="K307">
        <f>HYPERLINK("https://twitter.com/vailwilliams")</f>
        <v/>
      </c>
      <c r="L307">
        <f>HYPERLINK("https://www.facebook.com/vailwilliams")</f>
        <v/>
      </c>
      <c r="M307" t="inlineStr">
        <is>
          <t>Reading, United Kingdom</t>
        </is>
      </c>
      <c r="N307" t="inlineStr">
        <is>
          <t>200</t>
        </is>
      </c>
      <c r="O307" t="inlineStr">
        <is>
          <t>Commercial Real Estate</t>
        </is>
      </c>
      <c r="P307" t="inlineStr">
        <is>
          <t>real estate,real estate agents</t>
        </is>
      </c>
      <c r="Q307" t="inlineStr">
        <is>
          <t>+442035890080</t>
        </is>
      </c>
    </row>
    <row r="308">
      <c r="A308" t="inlineStr">
        <is>
          <t>5d5e5f5ef651255d34254ea5</t>
        </is>
      </c>
      <c r="B308" t="inlineStr">
        <is>
          <t>Greg Hunt</t>
        </is>
      </c>
      <c r="C308">
        <f>HYPERLINK("http://www.linkedin.com/in/greghuntclemdobson")</f>
        <v/>
      </c>
      <c r="D308" t="inlineStr">
        <is>
          <t>greghunt@clemdobson.co.uk</t>
        </is>
      </c>
      <c r="E308" t="inlineStr">
        <is>
          <t>Partner</t>
        </is>
      </c>
      <c r="F308">
        <f>HYPERLINK("https://app.apollo.io/#/people/5d5e5f5ef651255d34254ea5")</f>
        <v/>
      </c>
      <c r="G308" t="inlineStr">
        <is>
          <t>Clem Dobson Associates</t>
        </is>
      </c>
      <c r="H308">
        <f>HYPERLINK("https://app.apollo.io/#/organizations/5c267a1780f93edf8c0a4015")</f>
        <v/>
      </c>
      <c r="I308">
        <f>HYPERLINK("http://www.clemdobson.co.uk/")</f>
        <v/>
      </c>
      <c r="J308">
        <f>HYPERLINK("http://www.linkedin.com/company/clem-dobson-associates")</f>
        <v/>
      </c>
      <c r="K308">
        <f>HYPERLINK("Not Found")</f>
        <v/>
      </c>
      <c r="L308">
        <f>HYPERLINK("Not Found")</f>
        <v/>
      </c>
      <c r="M308" t="inlineStr">
        <is>
          <t>Bromsgrove, United Kingdom</t>
        </is>
      </c>
      <c r="N308" t="inlineStr">
        <is>
          <t>3</t>
        </is>
      </c>
      <c r="O308" t="inlineStr">
        <is>
          <t>Commercial Real Estate</t>
        </is>
      </c>
      <c r="Q308" t="inlineStr">
        <is>
          <t>+441527558966</t>
        </is>
      </c>
    </row>
    <row r="309">
      <c r="A309" t="inlineStr">
        <is>
          <t>54a2b2f274686935bedd1236</t>
        </is>
      </c>
      <c r="B309" t="inlineStr">
        <is>
          <t>Simon Tann</t>
        </is>
      </c>
      <c r="C309">
        <f>HYPERLINK("http://www.linkedin.com/in/simon-tann-89435338")</f>
        <v/>
      </c>
      <c r="D309" t="inlineStr">
        <is>
          <t>simon.tann@levyrealestate.co.uk</t>
        </is>
      </c>
      <c r="E309" t="inlineStr">
        <is>
          <t>Partner</t>
        </is>
      </c>
      <c r="F309">
        <f>HYPERLINK("https://app.apollo.io/#/people/54a2b2f274686935bedd1236")</f>
        <v/>
      </c>
      <c r="G309" t="inlineStr">
        <is>
          <t>Levy Real Estate</t>
        </is>
      </c>
      <c r="H309">
        <f>HYPERLINK("https://app.apollo.io/#/accounts/6578bf7ebeafb901ae2d44bf")</f>
        <v/>
      </c>
      <c r="I309">
        <f>HYPERLINK("http://www.levyrealestate.co.uk/")</f>
        <v/>
      </c>
      <c r="J309">
        <f>HYPERLINK("http://www.linkedin.com/company/levyrealestate")</f>
        <v/>
      </c>
      <c r="K309">
        <f>HYPERLINK("Not Found")</f>
        <v/>
      </c>
      <c r="L309">
        <f>HYPERLINK("Not Found")</f>
        <v/>
      </c>
      <c r="M309" t="inlineStr">
        <is>
          <t>London, United Kingdom</t>
        </is>
      </c>
      <c r="N309" t="inlineStr">
        <is>
          <t>50</t>
        </is>
      </c>
      <c r="O309" t="inlineStr">
        <is>
          <t>Commercial Real Estate</t>
        </is>
      </c>
      <c r="Q309" t="inlineStr">
        <is>
          <t>+442077470125</t>
        </is>
      </c>
    </row>
    <row r="310">
      <c r="A310" t="inlineStr">
        <is>
          <t>5ac0388ca6da98cf21599a3b</t>
        </is>
      </c>
      <c r="B310" t="inlineStr">
        <is>
          <t>David Feeney</t>
        </is>
      </c>
      <c r="C310">
        <f>HYPERLINK("http://www.linkedin.com/in/david-feeney-14652541")</f>
        <v/>
      </c>
      <c r="D310" t="inlineStr">
        <is>
          <t>david.feeney@cushwake.com</t>
        </is>
      </c>
      <c r="E310" t="inlineStr">
        <is>
          <t>Partner</t>
        </is>
      </c>
      <c r="F310">
        <f>HYPERLINK("https://app.apollo.io/#/people/5ac0388ca6da98cf21599a3b")</f>
        <v/>
      </c>
      <c r="G310" t="inlineStr">
        <is>
          <t>Cushman &amp; Wakefield - Formerly DTZ</t>
        </is>
      </c>
      <c r="H310">
        <f>HYPERLINK("https://app.apollo.io/#/accounts/6578bef1ccf69c01ae54f888")</f>
        <v/>
      </c>
      <c r="I310">
        <f>HYPERLINK("http://www.cushwake-ni.com/")</f>
        <v/>
      </c>
      <c r="J310">
        <f>HYPERLINK("http://www.linkedin.com/company/dtz")</f>
        <v/>
      </c>
      <c r="K310">
        <f>HYPERLINK("Not Found")</f>
        <v/>
      </c>
      <c r="L310">
        <f>HYPERLINK("Not Found")</f>
        <v/>
      </c>
      <c r="M310" t="inlineStr">
        <is>
          <t>Manchester, United Kingdom</t>
        </is>
      </c>
      <c r="N310" t="inlineStr">
        <is>
          <t>3,800</t>
        </is>
      </c>
      <c r="O310" t="inlineStr">
        <is>
          <t>Commercial Real Estate</t>
        </is>
      </c>
      <c r="P310" t="inlineStr">
        <is>
          <t>agency leasing,capital markets,consulting</t>
        </is>
      </c>
      <c r="Q310" t="inlineStr">
        <is>
          <t>(212)-841-7500</t>
        </is>
      </c>
    </row>
    <row r="311">
      <c r="A311" t="inlineStr">
        <is>
          <t>6113e9af4c552c000133cf66</t>
        </is>
      </c>
      <c r="B311" t="inlineStr">
        <is>
          <t>Andrew Baines</t>
        </is>
      </c>
      <c r="C311">
        <f>HYPERLINK("http://www.linkedin.com/in/andrew-baines-401b6116")</f>
        <v/>
      </c>
      <c r="D311" t="inlineStr">
        <is>
          <t>abaines@dohertybaines.com</t>
        </is>
      </c>
      <c r="E311" t="inlineStr">
        <is>
          <t>Partner</t>
        </is>
      </c>
      <c r="F311">
        <f>HYPERLINK("https://app.apollo.io/#/people/6113e9af4c552c000133cf66")</f>
        <v/>
      </c>
      <c r="G311" t="inlineStr">
        <is>
          <t>DohertyBaines</t>
        </is>
      </c>
      <c r="H311">
        <f>HYPERLINK("https://app.apollo.io/#/organizations/54a1a2907468695475098103")</f>
        <v/>
      </c>
      <c r="I311">
        <f>HYPERLINK("http://www.dohertybaines.com/")</f>
        <v/>
      </c>
      <c r="J311">
        <f>HYPERLINK("http://www.linkedin.com/company/dohertybaines")</f>
        <v/>
      </c>
      <c r="K311">
        <f>HYPERLINK("https://twitter.com/dohertybaines")</f>
        <v/>
      </c>
      <c r="L311">
        <f>HYPERLINK("Not Found")</f>
        <v/>
      </c>
      <c r="M311" t="inlineStr">
        <is>
          <t>United Kingdom</t>
        </is>
      </c>
      <c r="N311" t="inlineStr">
        <is>
          <t>15</t>
        </is>
      </c>
      <c r="O311" t="inlineStr">
        <is>
          <t>Commercial Real Estate</t>
        </is>
      </c>
      <c r="P311" t="inlineStr">
        <is>
          <t>real estate advisory,industrial agency</t>
        </is>
      </c>
      <c r="Q311" t="inlineStr">
        <is>
          <t>+442073553033</t>
        </is>
      </c>
    </row>
    <row r="312">
      <c r="A312" t="inlineStr">
        <is>
          <t>54a434df7468692abfa4bb34</t>
        </is>
      </c>
      <c r="B312" t="inlineStr">
        <is>
          <t>Tony Hindley</t>
        </is>
      </c>
      <c r="C312">
        <f>HYPERLINK("http://www.linkedin.com/in/tony-hindley-9748b244")</f>
        <v/>
      </c>
      <c r="D312" t="inlineStr">
        <is>
          <t>tony@hindleylawrence.co.uk</t>
        </is>
      </c>
      <c r="E312" t="inlineStr">
        <is>
          <t>Partner</t>
        </is>
      </c>
      <c r="F312">
        <f>HYPERLINK("https://app.apollo.io/#/people/54a434df7468692abfa4bb34")</f>
        <v/>
      </c>
      <c r="G312" t="inlineStr">
        <is>
          <t>Hindley Lawrence Ltd</t>
        </is>
      </c>
      <c r="H312">
        <f>HYPERLINK("https://app.apollo.io/#/organizations/5e55e7140d6a320001a3cc84")</f>
        <v/>
      </c>
      <c r="I312">
        <f>HYPERLINK("http://www.hindleylawrence.co.uk/")</f>
        <v/>
      </c>
      <c r="J312">
        <f>HYPERLINK("http://www.linkedin.com/company/hindley-lawrence")</f>
        <v/>
      </c>
      <c r="K312">
        <f>HYPERLINK("Not Found")</f>
        <v/>
      </c>
      <c r="L312">
        <f>HYPERLINK("Not Found")</f>
        <v/>
      </c>
      <c r="M312" t="inlineStr">
        <is>
          <t>Manchester, United Kingdom</t>
        </is>
      </c>
      <c r="N312" t="inlineStr">
        <is>
          <t>3</t>
        </is>
      </c>
      <c r="O312" t="inlineStr">
        <is>
          <t>Commercial Real Estate</t>
        </is>
      </c>
      <c r="P312" t="inlineStr">
        <is>
          <t>filling stations,commercial property advisor</t>
        </is>
      </c>
      <c r="Q312" t="inlineStr">
        <is>
          <t>+443448800034</t>
        </is>
      </c>
    </row>
    <row r="313">
      <c r="A313" t="inlineStr">
        <is>
          <t>57dee24aa6da987b59df5349</t>
        </is>
      </c>
      <c r="B313" t="inlineStr">
        <is>
          <t>Laurence Roberts</t>
        </is>
      </c>
      <c r="C313">
        <f>HYPERLINK("http://www.linkedin.com/in/laurence-roberts-91b19515")</f>
        <v/>
      </c>
      <c r="D313" t="inlineStr">
        <is>
          <t>lroberts@vailwilliams.com</t>
        </is>
      </c>
      <c r="E313" t="inlineStr">
        <is>
          <t>Partner</t>
        </is>
      </c>
      <c r="F313">
        <f>HYPERLINK("https://app.apollo.io/#/people/57dee24aa6da987b59df5349")</f>
        <v/>
      </c>
      <c r="G313" t="inlineStr">
        <is>
          <t>Vail Williams</t>
        </is>
      </c>
      <c r="H313">
        <f>HYPERLINK("https://app.apollo.io/#/accounts/6578bf02ccf69c02cc54f0ad")</f>
        <v/>
      </c>
      <c r="I313">
        <f>HYPERLINK("http://www.vailwilliams.com/")</f>
        <v/>
      </c>
      <c r="J313">
        <f>HYPERLINK("http://www.linkedin.com/company/vail-williams")</f>
        <v/>
      </c>
      <c r="K313">
        <f>HYPERLINK("https://twitter.com/vailwilliams")</f>
        <v/>
      </c>
      <c r="L313">
        <f>HYPERLINK("https://www.facebook.com/vailwilliams")</f>
        <v/>
      </c>
      <c r="M313" t="inlineStr">
        <is>
          <t>London, United Kingdom</t>
        </is>
      </c>
      <c r="N313" t="inlineStr">
        <is>
          <t>200</t>
        </is>
      </c>
      <c r="O313" t="inlineStr">
        <is>
          <t>Commercial Real Estate</t>
        </is>
      </c>
      <c r="P313" t="inlineStr">
        <is>
          <t>real estate,real estate agents</t>
        </is>
      </c>
      <c r="Q313" t="inlineStr">
        <is>
          <t>+442035890080</t>
        </is>
      </c>
    </row>
    <row r="314">
      <c r="A314" t="inlineStr">
        <is>
          <t>5acfda78a6da98d12545bb82</t>
        </is>
      </c>
      <c r="B314" t="inlineStr">
        <is>
          <t>Adam Crooks</t>
        </is>
      </c>
      <c r="C314">
        <f>HYPERLINK("http://www.linkedin.com/in/adam-crooks")</f>
        <v/>
      </c>
      <c r="D314" t="inlineStr">
        <is>
          <t>Not Found</t>
        </is>
      </c>
      <c r="E314" t="inlineStr">
        <is>
          <t>Founder</t>
        </is>
      </c>
      <c r="F314">
        <f>HYPERLINK("https://app.apollo.io/#/people/5acfda78a6da98d12545bb82")</f>
        <v/>
      </c>
      <c r="G314" t="inlineStr">
        <is>
          <t>Requirement List</t>
        </is>
      </c>
      <c r="H314">
        <f>HYPERLINK("https://app.apollo.io/#/organizations/55f5806bf3e5bb6ba7001602")</f>
        <v/>
      </c>
      <c r="I314">
        <f>HYPERLINK("http://www.therequirementlist.com/")</f>
        <v/>
      </c>
      <c r="J314">
        <f>HYPERLINK("http://www.linkedin.com/company/the-requirement-list")</f>
        <v/>
      </c>
      <c r="K314">
        <f>HYPERLINK("Not Found")</f>
        <v/>
      </c>
      <c r="L314">
        <f>HYPERLINK("Not Found")</f>
        <v/>
      </c>
      <c r="M314" t="inlineStr">
        <is>
          <t>Bristol, United Kingdom</t>
        </is>
      </c>
      <c r="N314" t="inlineStr">
        <is>
          <t>2</t>
        </is>
      </c>
      <c r="O314" t="inlineStr">
        <is>
          <t>Commercial Real Estate</t>
        </is>
      </c>
      <c r="P314" t="inlineStr">
        <is>
          <t>technology,real estate,commercial real estate</t>
        </is>
      </c>
      <c r="Q314" t="inlineStr">
        <is>
          <t>Not Found</t>
        </is>
      </c>
    </row>
    <row r="315">
      <c r="A315" t="inlineStr">
        <is>
          <t>5b357bf6a6da980c2989be94</t>
        </is>
      </c>
      <c r="B315" t="inlineStr">
        <is>
          <t>Tariq Ansari</t>
        </is>
      </c>
      <c r="C315">
        <f>HYPERLINK("http://www.linkedin.com/in/tariq-ansari-910502140")</f>
        <v/>
      </c>
      <c r="D315" t="inlineStr">
        <is>
          <t>tariq.ansari@rivercommercial.com</t>
        </is>
      </c>
      <c r="E315" t="inlineStr">
        <is>
          <t>Partner</t>
        </is>
      </c>
      <c r="F315">
        <f>HYPERLINK("https://app.apollo.io/#/people/5b357bf6a6da980c2989be94")</f>
        <v/>
      </c>
      <c r="G315" t="inlineStr">
        <is>
          <t>Capital Rivers Commercial</t>
        </is>
      </c>
      <c r="H315">
        <f>HYPERLINK("https://app.apollo.io/#/organizations/5e55b5e646c7200001c4e735")</f>
        <v/>
      </c>
      <c r="I315">
        <f>HYPERLINK("http://www.capitalrivers.com/")</f>
        <v/>
      </c>
      <c r="J315">
        <f>HYPERLINK("http://www.linkedin.com/company/capital-rivers-commercial")</f>
        <v/>
      </c>
      <c r="K315">
        <f>HYPERLINK("Not Found")</f>
        <v/>
      </c>
      <c r="L315">
        <f>HYPERLINK("https://www.facebook.com/capitalrivers")</f>
        <v/>
      </c>
      <c r="M315" t="inlineStr">
        <is>
          <t>London, United Kingdom</t>
        </is>
      </c>
      <c r="N315" t="inlineStr">
        <is>
          <t>20</t>
        </is>
      </c>
      <c r="O315" t="inlineStr">
        <is>
          <t>Commercial Real Estate</t>
        </is>
      </c>
      <c r="P315" t="inlineStr">
        <is>
          <t>retail,development,brokerage,managment</t>
        </is>
      </c>
      <c r="Q315" t="inlineStr">
        <is>
          <t>(916)-514-5225</t>
        </is>
      </c>
    </row>
    <row r="316">
      <c r="A316" t="inlineStr">
        <is>
          <t>54a5becf7468692abf8beca4</t>
        </is>
      </c>
      <c r="B316" t="inlineStr">
        <is>
          <t>Roger Duke</t>
        </is>
      </c>
      <c r="C316">
        <f>HYPERLINK("http://www.linkedin.com/in/roger-duke-10554222")</f>
        <v/>
      </c>
      <c r="D316" t="inlineStr">
        <is>
          <t>roger.duke@michaelrogers.co.uk</t>
        </is>
      </c>
      <c r="E316" t="inlineStr">
        <is>
          <t>Partner</t>
        </is>
      </c>
      <c r="F316">
        <f>HYPERLINK("https://app.apollo.io/#/people/54a5becf7468692abf8beca4")</f>
        <v/>
      </c>
      <c r="G316" t="inlineStr">
        <is>
          <t>Michael Rogers LLP</t>
        </is>
      </c>
      <c r="H316">
        <f>HYPERLINK("https://app.apollo.io/#/accounts/6578bed8ccf69c01ae54f7e0")</f>
        <v/>
      </c>
      <c r="I316">
        <f>HYPERLINK("http://www.michaelrogers.co.uk/")</f>
        <v/>
      </c>
      <c r="J316">
        <f>HYPERLINK("http://www.linkedin.com/company/michael-rogers-llp")</f>
        <v/>
      </c>
      <c r="K316">
        <f>HYPERLINK("Not Found")</f>
        <v/>
      </c>
      <c r="L316">
        <f>HYPERLINK("https://facebook.com/pages/Michael-Rogers-LLP/212368852189933")</f>
        <v/>
      </c>
      <c r="M316" t="inlineStr">
        <is>
          <t>Redhill, United Kingdom</t>
        </is>
      </c>
      <c r="N316" t="inlineStr">
        <is>
          <t>10</t>
        </is>
      </c>
      <c r="O316" t="inlineStr">
        <is>
          <t>Commercial Real Estate</t>
        </is>
      </c>
      <c r="P316" t="inlineStr">
        <is>
          <t>commercial real estate,sales,investment</t>
        </is>
      </c>
      <c r="Q316" t="inlineStr">
        <is>
          <t>+441737230700</t>
        </is>
      </c>
    </row>
    <row r="317">
      <c r="A317" t="inlineStr">
        <is>
          <t>60c715fc56c2670001bc1d80</t>
        </is>
      </c>
      <c r="B317" t="inlineStr">
        <is>
          <t>Jerry Alexander</t>
        </is>
      </c>
      <c r="C317">
        <f>HYPERLINK("http://www.linkedin.com/in/jerryalexander")</f>
        <v/>
      </c>
      <c r="D317" t="inlineStr">
        <is>
          <t>Not Found</t>
        </is>
      </c>
      <c r="E317" t="inlineStr">
        <is>
          <t>Founder</t>
        </is>
      </c>
      <c r="F317">
        <f>HYPERLINK("https://app.apollo.io/#/people/60c715fc56c2670001bc1d80")</f>
        <v/>
      </c>
      <c r="G317" t="inlineStr">
        <is>
          <t>Commercial Property Investor</t>
        </is>
      </c>
      <c r="H317">
        <f>HYPERLINK("https://app.apollo.io/#/organizations/62b59c7c1f1072008b3c8fc2")</f>
        <v/>
      </c>
      <c r="I317">
        <f>HYPERLINK("http://www.commercialpropertyinvestor.co.uk/")</f>
        <v/>
      </c>
      <c r="J317">
        <f>HYPERLINK("http://www.linkedin.com/company/commercial-property-investor")</f>
        <v/>
      </c>
      <c r="K317">
        <f>HYPERLINK("Not Found")</f>
        <v/>
      </c>
      <c r="L317">
        <f>HYPERLINK("Not Found")</f>
        <v/>
      </c>
      <c r="M317" t="inlineStr">
        <is>
          <t>Kinross, United Kingdom</t>
        </is>
      </c>
      <c r="N317" t="inlineStr">
        <is>
          <t>2</t>
        </is>
      </c>
      <c r="O317" t="inlineStr">
        <is>
          <t>Commercial Real Estate</t>
        </is>
      </c>
      <c r="P317" t="inlineStr">
        <is>
          <t>commercial property,property investing</t>
        </is>
      </c>
      <c r="Q317" t="inlineStr">
        <is>
          <t>Not Found</t>
        </is>
      </c>
    </row>
    <row r="318">
      <c r="A318" t="inlineStr">
        <is>
          <t>606b41d4182ee00001c8ddaf</t>
        </is>
      </c>
      <c r="B318" t="inlineStr">
        <is>
          <t>Matthew Stott</t>
        </is>
      </c>
      <c r="C318">
        <f>HYPERLINK("http://www.linkedin.com/in/flexifymatt")</f>
        <v/>
      </c>
      <c r="D318" t="inlineStr">
        <is>
          <t>Not Found</t>
        </is>
      </c>
      <c r="E318" t="inlineStr">
        <is>
          <t>Founder</t>
        </is>
      </c>
      <c r="F318">
        <f>HYPERLINK("https://app.apollo.io/#/people/606b41d4182ee00001c8ddaf")</f>
        <v/>
      </c>
      <c r="G318" t="inlineStr">
        <is>
          <t>Flexify</t>
        </is>
      </c>
      <c r="H318">
        <f>HYPERLINK("https://app.apollo.io/#/organizations/5fc9bcce7b717800017eade6")</f>
        <v/>
      </c>
      <c r="I318">
        <f>HYPERLINK("http://www.flexify.co.uk/")</f>
        <v/>
      </c>
      <c r="J318">
        <f>HYPERLINK("http://www.linkedin.com/company/flexifyhq")</f>
        <v/>
      </c>
      <c r="K318">
        <f>HYPERLINK("https://twitter.com/weareflexify")</f>
        <v/>
      </c>
      <c r="L318">
        <f>HYPERLINK("Not Found")</f>
        <v/>
      </c>
      <c r="M318" t="inlineStr">
        <is>
          <t>London, United Kingdom</t>
        </is>
      </c>
      <c r="N318" t="inlineStr">
        <is>
          <t>10</t>
        </is>
      </c>
      <c r="O318" t="inlineStr">
        <is>
          <t>Commercial Real Estate</t>
        </is>
      </c>
      <c r="P318" t="inlineStr">
        <is>
          <t>commercial real estate,office space,flexible offices</t>
        </is>
      </c>
      <c r="Q318" t="inlineStr">
        <is>
          <t>Not Found</t>
        </is>
      </c>
    </row>
    <row r="319">
      <c r="A319" t="inlineStr">
        <is>
          <t>649b0a22a7e7620001a69b72</t>
        </is>
      </c>
      <c r="B319" t="inlineStr">
        <is>
          <t>Isaac Tonkin</t>
        </is>
      </c>
      <c r="C319">
        <f>HYPERLINK("http://www.linkedin.com/in/isaac-tonkin")</f>
        <v/>
      </c>
      <c r="D319" t="inlineStr">
        <is>
          <t>isaac@foundthespace.com</t>
        </is>
      </c>
      <c r="E319" t="inlineStr">
        <is>
          <t>Founder</t>
        </is>
      </c>
      <c r="F319">
        <f>HYPERLINK("https://app.apollo.io/#/people/649b0a22a7e7620001a69b72")</f>
        <v/>
      </c>
      <c r="G319" t="inlineStr">
        <is>
          <t>Found</t>
        </is>
      </c>
      <c r="H319">
        <f>HYPERLINK("https://app.apollo.io/#/organizations/6182969aa933c700a484cb4b")</f>
        <v/>
      </c>
      <c r="I319">
        <f>HYPERLINK("http://www.foundthespace.com/")</f>
        <v/>
      </c>
      <c r="J319">
        <f>HYPERLINK("http://www.linkedin.com/company/foundthespace")</f>
        <v/>
      </c>
      <c r="K319">
        <f>HYPERLINK("Not Found")</f>
        <v/>
      </c>
      <c r="L319">
        <f>HYPERLINK("https://www.facebook.com/Foundthespace/")</f>
        <v/>
      </c>
      <c r="M319" t="inlineStr">
        <is>
          <t>London, United Kingdom</t>
        </is>
      </c>
      <c r="N319" t="inlineStr">
        <is>
          <t>7</t>
        </is>
      </c>
      <c r="O319" t="inlineStr">
        <is>
          <t>Commercial Real Estate</t>
        </is>
      </c>
      <c r="P319" t="inlineStr">
        <is>
          <t>flex space,commercial real estate,consultancy</t>
        </is>
      </c>
      <c r="Q319" t="inlineStr">
        <is>
          <t>+442078673760</t>
        </is>
      </c>
    </row>
    <row r="320">
      <c r="A320" t="inlineStr">
        <is>
          <t>5b1fa7f1a6da98e1e0019871</t>
        </is>
      </c>
      <c r="B320" t="inlineStr">
        <is>
          <t>Richard Robson</t>
        </is>
      </c>
      <c r="C320">
        <f>HYPERLINK("http://www.linkedin.com/in/richard-robson-8386b82b")</f>
        <v/>
      </c>
      <c r="D320" t="inlineStr">
        <is>
          <t>richard.robson@michaelrogers.co.uk</t>
        </is>
      </c>
      <c r="E320" t="inlineStr">
        <is>
          <t>Partner</t>
        </is>
      </c>
      <c r="F320">
        <f>HYPERLINK("https://app.apollo.io/#/people/5b1fa7f1a6da98e1e0019871")</f>
        <v/>
      </c>
      <c r="G320" t="inlineStr">
        <is>
          <t>Michael Rogers</t>
        </is>
      </c>
      <c r="H320">
        <f>HYPERLINK("https://app.apollo.io/#/organizations/60aebfa0d3a3f200016f8275")</f>
        <v/>
      </c>
      <c r="I320">
        <f>HYPERLINK("http://www.michaelrogers.co.uk/")</f>
        <v/>
      </c>
      <c r="J320">
        <f>HYPERLINK("http://www.linkedin.com/company/michael-rogers")</f>
        <v/>
      </c>
      <c r="K320">
        <f>HYPERLINK("Not Found")</f>
        <v/>
      </c>
      <c r="L320">
        <f>HYPERLINK("https://www.facebook.com/MichaelRogersLLP")</f>
        <v/>
      </c>
      <c r="M320" t="inlineStr">
        <is>
          <t>Tonbridge, United Kingdom</t>
        </is>
      </c>
      <c r="N320" t="inlineStr">
        <is>
          <t>10</t>
        </is>
      </c>
      <c r="O320" t="inlineStr">
        <is>
          <t>Commercial Real Estate</t>
        </is>
      </c>
      <c r="P320" t="inlineStr">
        <is>
          <t>valuations,compulsory purchase,investment development</t>
        </is>
      </c>
      <c r="Q320" t="inlineStr">
        <is>
          <t>+441737230700</t>
        </is>
      </c>
    </row>
    <row r="321">
      <c r="A321" t="inlineStr">
        <is>
          <t>6578bca3f8c62e01aef7c583</t>
        </is>
      </c>
      <c r="B321" t="inlineStr">
        <is>
          <t>Iryna Ignatyeva</t>
        </is>
      </c>
      <c r="C321">
        <f>HYPERLINK("http://www.linkedin.com/in/iryna-ignatyeva-970577b")</f>
        <v/>
      </c>
      <c r="D321" t="inlineStr">
        <is>
          <t>Not Found</t>
        </is>
      </c>
      <c r="E321" t="inlineStr">
        <is>
          <t>Founder/Owner</t>
        </is>
      </c>
      <c r="F321">
        <f>HYPERLINK("https://app.apollo.io/#/contacts/6578bca3f8c62e01aef7c583")</f>
        <v/>
      </c>
      <c r="G321" t="inlineStr">
        <is>
          <t>Buyrentcommercial.com</t>
        </is>
      </c>
      <c r="H321">
        <f>HYPERLINK("https://app.apollo.io/#/accounts/6578bca3f8c62e01aef7c585")</f>
        <v/>
      </c>
      <c r="I321">
        <f>HYPERLINK("http://www.buyrentcommercial.com/")</f>
        <v/>
      </c>
      <c r="J321">
        <f>HYPERLINK("http://www.linkedin.com/company/buyrentcommercial-com")</f>
        <v/>
      </c>
      <c r="K321">
        <f>HYPERLINK("Not Found")</f>
        <v/>
      </c>
      <c r="L321">
        <f>HYPERLINK("Not Found")</f>
        <v/>
      </c>
      <c r="M321" t="inlineStr">
        <is>
          <t>Bristol, United Kingdom</t>
        </is>
      </c>
      <c r="N321" t="inlineStr">
        <is>
          <t>2</t>
        </is>
      </c>
      <c r="O321" t="inlineStr">
        <is>
          <t>Commercial Real Estate</t>
        </is>
      </c>
      <c r="P321" t="inlineStr">
        <is>
          <t>commercial real estate,buy commercial real estate</t>
        </is>
      </c>
      <c r="Q321" t="inlineStr">
        <is>
          <t>+442039003337</t>
        </is>
      </c>
    </row>
    <row r="322">
      <c r="A322" t="inlineStr">
        <is>
          <t>5e8b1bb3600b2200016308b8</t>
        </is>
      </c>
      <c r="B322" t="inlineStr">
        <is>
          <t>Lloyd Fulcher</t>
        </is>
      </c>
      <c r="C322">
        <f>HYPERLINK("http://www.linkedin.com/in/lloyd-fulcher-436b86135")</f>
        <v/>
      </c>
      <c r="D322" t="inlineStr">
        <is>
          <t>lloyd.fulcher@cushwake.com</t>
        </is>
      </c>
      <c r="E322" t="inlineStr">
        <is>
          <t>Partner</t>
        </is>
      </c>
      <c r="F322">
        <f>HYPERLINK("https://app.apollo.io/#/people/5e8b1bb3600b2200016308b8")</f>
        <v/>
      </c>
      <c r="G322" t="inlineStr">
        <is>
          <t>Cushman &amp; Wakefield - Formerly DTZ</t>
        </is>
      </c>
      <c r="H322">
        <f>HYPERLINK("https://app.apollo.io/#/accounts/6578bef1ccf69c01ae54f888")</f>
        <v/>
      </c>
      <c r="I322">
        <f>HYPERLINK("http://www.cushwake-ni.com/")</f>
        <v/>
      </c>
      <c r="J322">
        <f>HYPERLINK("http://www.linkedin.com/company/dtz")</f>
        <v/>
      </c>
      <c r="K322">
        <f>HYPERLINK("Not Found")</f>
        <v/>
      </c>
      <c r="L322">
        <f>HYPERLINK("Not Found")</f>
        <v/>
      </c>
      <c r="M322" t="inlineStr">
        <is>
          <t>London, United Kingdom</t>
        </is>
      </c>
      <c r="N322" t="inlineStr">
        <is>
          <t>3,800</t>
        </is>
      </c>
      <c r="O322" t="inlineStr">
        <is>
          <t>Commercial Real Estate</t>
        </is>
      </c>
      <c r="P322" t="inlineStr">
        <is>
          <t>agency leasing,capital markets,consulting</t>
        </is>
      </c>
      <c r="Q322" t="inlineStr">
        <is>
          <t>(212)-841-7500</t>
        </is>
      </c>
    </row>
    <row r="323">
      <c r="A323" t="inlineStr">
        <is>
          <t>5ad2928aa6da988387c67dfe</t>
        </is>
      </c>
      <c r="B323" t="inlineStr">
        <is>
          <t>Sally Ellis</t>
        </is>
      </c>
      <c r="C323">
        <f>HYPERLINK("http://www.linkedin.com/in/sally-ellis-87017189")</f>
        <v/>
      </c>
      <c r="D323" t="inlineStr">
        <is>
          <t>sallyellis@dawsongroup.co.uk</t>
        </is>
      </c>
      <c r="E323" t="inlineStr">
        <is>
          <t>Personnel Officer &amp; PA to Group Chief Executive</t>
        </is>
      </c>
      <c r="F323">
        <f>HYPERLINK("https://app.apollo.io/#/people/5ad2928aa6da988387c67dfe")</f>
        <v/>
      </c>
      <c r="G323" t="inlineStr">
        <is>
          <t>Dawsongroup</t>
        </is>
      </c>
      <c r="H323">
        <f>HYPERLINK("https://app.apollo.io/#/accounts/6578bdff73d31601aeef274e")</f>
        <v/>
      </c>
      <c r="I323">
        <f>HYPERLINK("http://www.dawsongroup.co.uk/")</f>
        <v/>
      </c>
      <c r="J323">
        <f>HYPERLINK("http://www.linkedin.com/company/dawsongroup-plc")</f>
        <v/>
      </c>
      <c r="K323">
        <f>HYPERLINK("https://twitter.com/dawsongroupplc")</f>
        <v/>
      </c>
      <c r="L323">
        <f>HYPERLINK("Not Found")</f>
        <v/>
      </c>
      <c r="M323" t="inlineStr">
        <is>
          <t>United Kingdom</t>
        </is>
      </c>
      <c r="N323" t="inlineStr">
        <is>
          <t>390</t>
        </is>
      </c>
      <c r="O323" t="inlineStr">
        <is>
          <t>Commercial Real Estate</t>
        </is>
      </c>
      <c r="P323" t="inlineStr">
        <is>
          <t>asset management,rental</t>
        </is>
      </c>
      <c r="Q323" t="inlineStr">
        <is>
          <t>+441908218111</t>
        </is>
      </c>
    </row>
    <row r="324">
      <c r="A324" t="inlineStr">
        <is>
          <t>5ab99fdea6da98b805368a94</t>
        </is>
      </c>
      <c r="B324" t="inlineStr">
        <is>
          <t>Phil Walker</t>
        </is>
      </c>
      <c r="C324">
        <f>HYPERLINK("http://www.linkedin.com/in/phil-walker-54552825")</f>
        <v/>
      </c>
      <c r="D324" t="inlineStr">
        <is>
          <t>phil@colefordcapital.com</t>
        </is>
      </c>
      <c r="E324" t="inlineStr">
        <is>
          <t>Co-Founder</t>
        </is>
      </c>
      <c r="F324">
        <f>HYPERLINK("https://app.apollo.io/#/people/5ab99fdea6da98b805368a94")</f>
        <v/>
      </c>
      <c r="G324" t="inlineStr">
        <is>
          <t>Coleford Capital</t>
        </is>
      </c>
      <c r="H324">
        <f>HYPERLINK("https://app.apollo.io/#/organizations/639448b1861afb0001c0e3f1")</f>
        <v/>
      </c>
      <c r="I324">
        <f>HYPERLINK("http://www.colefordcapital.com/")</f>
        <v/>
      </c>
      <c r="J324">
        <f>HYPERLINK("http://www.linkedin.com/company/coleford-capital")</f>
        <v/>
      </c>
      <c r="K324">
        <f>HYPERLINK("Not Found")</f>
        <v/>
      </c>
      <c r="L324">
        <f>HYPERLINK("Not Found")</f>
        <v/>
      </c>
      <c r="M324" t="inlineStr">
        <is>
          <t>London, United Kingdom</t>
        </is>
      </c>
      <c r="N324" t="inlineStr">
        <is>
          <t>8</t>
        </is>
      </c>
      <c r="O324" t="inlineStr">
        <is>
          <t>Commercial Real Estate</t>
        </is>
      </c>
      <c r="P324" t="inlineStr">
        <is>
          <t>asset management,commercial real estate</t>
        </is>
      </c>
      <c r="Q324" t="inlineStr">
        <is>
          <t>+442074095289</t>
        </is>
      </c>
    </row>
    <row r="325">
      <c r="A325" t="inlineStr">
        <is>
          <t>54a6f3fa7468696de7168007</t>
        </is>
      </c>
      <c r="B325" t="inlineStr">
        <is>
          <t>Lloyd Becker</t>
        </is>
      </c>
      <c r="C325">
        <f>HYPERLINK("http://www.linkedin.com/in/lloyd-becker-6ab7261a")</f>
        <v/>
      </c>
      <c r="D325" t="inlineStr">
        <is>
          <t>lloyd@wearedistrict.co.uk</t>
        </is>
      </c>
      <c r="E325" t="inlineStr">
        <is>
          <t>Founder</t>
        </is>
      </c>
      <c r="F325">
        <f>HYPERLINK("https://app.apollo.io/#/people/54a6f3fa7468696de7168007")</f>
        <v/>
      </c>
      <c r="G325" t="inlineStr">
        <is>
          <t>District</t>
        </is>
      </c>
      <c r="H325">
        <f>HYPERLINK("https://app.apollo.io/#/organizations/5fae79ab0bb99500be401e3c")</f>
        <v/>
      </c>
      <c r="I325">
        <f>HYPERLINK("http://www.wearedistrict.co.uk/")</f>
        <v/>
      </c>
      <c r="J325">
        <f>HYPERLINK("http://www.linkedin.com/company/wearedistrict")</f>
        <v/>
      </c>
      <c r="K325">
        <f>HYPERLINK("Not Found")</f>
        <v/>
      </c>
      <c r="L325">
        <f>HYPERLINK("Not Found")</f>
        <v/>
      </c>
      <c r="M325" t="inlineStr">
        <is>
          <t>London, United Kingdom</t>
        </is>
      </c>
      <c r="N325" t="inlineStr">
        <is>
          <t>5</t>
        </is>
      </c>
      <c r="O325" t="inlineStr">
        <is>
          <t>Commercial Real Estate</t>
        </is>
      </c>
      <c r="P325" t="inlineStr">
        <is>
          <t>workspace management,commercial real estate</t>
        </is>
      </c>
      <c r="Q325" t="inlineStr">
        <is>
          <t>+44207940111</t>
        </is>
      </c>
    </row>
    <row r="326">
      <c r="A326" t="inlineStr">
        <is>
          <t>60f9900001dd870001051840</t>
        </is>
      </c>
      <c r="B326" t="inlineStr">
        <is>
          <t>Clare Doughty</t>
        </is>
      </c>
      <c r="C326">
        <f>HYPERLINK("http://www.linkedin.com/in/claredoughty")</f>
        <v/>
      </c>
      <c r="D326" t="inlineStr">
        <is>
          <t>clare@madisonberkeley.com</t>
        </is>
      </c>
      <c r="E326" t="inlineStr">
        <is>
          <t>Co-Founder</t>
        </is>
      </c>
      <c r="F326">
        <f>HYPERLINK("https://app.apollo.io/#/people/60f9900001dd870001051840")</f>
        <v/>
      </c>
      <c r="G326" t="inlineStr">
        <is>
          <t>Madison Berkeley</t>
        </is>
      </c>
      <c r="H326">
        <f>HYPERLINK("https://app.apollo.io/#/organizations/5b130ce4a6da98dcd4b71dbf")</f>
        <v/>
      </c>
      <c r="I326">
        <f>HYPERLINK("http://www.madisonberkeley.com/")</f>
        <v/>
      </c>
      <c r="J326">
        <f>HYPERLINK("http://www.linkedin.com/company/madison-berkeley")</f>
        <v/>
      </c>
      <c r="K326">
        <f>HYPERLINK("Not Found")</f>
        <v/>
      </c>
      <c r="L326">
        <f>HYPERLINK("Not Found")</f>
        <v/>
      </c>
      <c r="M326" t="inlineStr">
        <is>
          <t>London, United Kingdom</t>
        </is>
      </c>
      <c r="N326" t="inlineStr">
        <is>
          <t>8</t>
        </is>
      </c>
      <c r="O326" t="inlineStr">
        <is>
          <t>Commercial Real Estate</t>
        </is>
      </c>
      <c r="P326" t="inlineStr">
        <is>
          <t>real estate recruitment,property recruitment</t>
        </is>
      </c>
      <c r="Q326" t="inlineStr">
        <is>
          <t>+442079932414</t>
        </is>
      </c>
    </row>
    <row r="327">
      <c r="A327" t="inlineStr">
        <is>
          <t>54a26a6c7468693a7edd4421</t>
        </is>
      </c>
      <c r="B327" t="inlineStr">
        <is>
          <t>Talib Merali</t>
        </is>
      </c>
      <c r="C327">
        <f>HYPERLINK("http://www.linkedin.com/in/talib-merali-9834944")</f>
        <v/>
      </c>
      <c r="D327" t="inlineStr">
        <is>
          <t>talib@kensingtonofficegroup.com</t>
        </is>
      </c>
      <c r="E327" t="inlineStr">
        <is>
          <t>Owner</t>
        </is>
      </c>
      <c r="F327">
        <f>HYPERLINK("https://app.apollo.io/#/people/54a26a6c7468693a7edd4421")</f>
        <v/>
      </c>
      <c r="G327" t="inlineStr">
        <is>
          <t>Kensington Office Group</t>
        </is>
      </c>
      <c r="H327">
        <f>HYPERLINK("https://app.apollo.io/#/organizations/5a9d323ea6da98d9a15751c1")</f>
        <v/>
      </c>
      <c r="I327">
        <f>HYPERLINK("http://www.kensingtonofficegroup.com/")</f>
        <v/>
      </c>
      <c r="J327">
        <f>HYPERLINK("http://www.linkedin.com/company/kensingtonofficegroup")</f>
        <v/>
      </c>
      <c r="K327">
        <f>HYPERLINK("https://twitter.com/KOGoffices1")</f>
        <v/>
      </c>
      <c r="L327">
        <f>HYPERLINK("https://www.facebook.com/kensingtonofficegroup/")</f>
        <v/>
      </c>
      <c r="M327" t="inlineStr">
        <is>
          <t>London, United Kingdom</t>
        </is>
      </c>
      <c r="N327" t="inlineStr">
        <is>
          <t>13</t>
        </is>
      </c>
      <c r="O327" t="inlineStr">
        <is>
          <t>Commercial Real Estate</t>
        </is>
      </c>
      <c r="P327" t="inlineStr">
        <is>
          <t>premium office space,office space,luxurious office</t>
        </is>
      </c>
      <c r="Q327" t="inlineStr">
        <is>
          <t>+442039749749</t>
        </is>
      </c>
    </row>
    <row r="328">
      <c r="A328" t="inlineStr">
        <is>
          <t>54a528ba7468692abffec281</t>
        </is>
      </c>
      <c r="B328" t="inlineStr">
        <is>
          <t>Edward Blyth</t>
        </is>
      </c>
      <c r="C328">
        <f>HYPERLINK("http://www.linkedin.com/in/edward-blyth-3404268")</f>
        <v/>
      </c>
      <c r="D328" t="inlineStr">
        <is>
          <t>Not Found</t>
        </is>
      </c>
      <c r="E328" t="inlineStr">
        <is>
          <t>Owner</t>
        </is>
      </c>
      <c r="F328">
        <f>HYPERLINK("https://app.apollo.io/#/people/54a528ba7468692abffec281")</f>
        <v/>
      </c>
      <c r="G328" t="inlineStr">
        <is>
          <t>Plus Projects</t>
        </is>
      </c>
      <c r="H328">
        <f>HYPERLINK("https://app.apollo.io/#/organizations/54a13c2869702d0486ddd401")</f>
        <v/>
      </c>
      <c r="I328">
        <f>HYPERLINK("Not Found")</f>
        <v/>
      </c>
      <c r="J328">
        <f>HYPERLINK("http://www.linkedin.com/company/plus-projects")</f>
        <v/>
      </c>
      <c r="K328">
        <f>HYPERLINK("Not Found")</f>
        <v/>
      </c>
      <c r="L328">
        <f>HYPERLINK("Not Found")</f>
        <v/>
      </c>
      <c r="M328" t="inlineStr">
        <is>
          <t>Stevenage, United Kingdom</t>
        </is>
      </c>
      <c r="N328" t="inlineStr">
        <is>
          <t>36</t>
        </is>
      </c>
      <c r="O328" t="inlineStr">
        <is>
          <t>Commercial Real Estate</t>
        </is>
      </c>
      <c r="Q328" t="inlineStr">
        <is>
          <t>Not Found</t>
        </is>
      </c>
    </row>
    <row r="329">
      <c r="A329" t="inlineStr">
        <is>
          <t>5e7a334f2e814700012e8fb7</t>
        </is>
      </c>
      <c r="B329" t="inlineStr">
        <is>
          <t>David Tilbury</t>
        </is>
      </c>
      <c r="C329">
        <f>HYPERLINK("http://www.linkedin.com/in/david-tilbury-39664a129")</f>
        <v/>
      </c>
      <c r="D329" t="inlineStr">
        <is>
          <t>Not Found</t>
        </is>
      </c>
      <c r="E329" t="inlineStr">
        <is>
          <t>Business Owner</t>
        </is>
      </c>
      <c r="F329">
        <f>HYPERLINK("https://app.apollo.io/#/people/5e7a334f2e814700012e8fb7")</f>
        <v/>
      </c>
      <c r="G329" t="inlineStr">
        <is>
          <t>London &amp; Home Counties Alliance</t>
        </is>
      </c>
      <c r="H329">
        <f>HYPERLINK("https://app.apollo.io/#/organizations/604941382b85ec0001541847")</f>
        <v/>
      </c>
      <c r="I329">
        <f>HYPERLINK("Not Found")</f>
        <v/>
      </c>
      <c r="J329">
        <f>HYPERLINK("http://www.linkedin.com/company/london-home-counties-alliance")</f>
        <v/>
      </c>
      <c r="K329">
        <f>HYPERLINK("Not Found")</f>
        <v/>
      </c>
      <c r="L329">
        <f>HYPERLINK("Not Found")</f>
        <v/>
      </c>
      <c r="M329" t="inlineStr">
        <is>
          <t>London, United Kingdom</t>
        </is>
      </c>
      <c r="N329" t="inlineStr">
        <is>
          <t>5</t>
        </is>
      </c>
      <c r="O329" t="inlineStr">
        <is>
          <t>Commercial Real Estate</t>
        </is>
      </c>
      <c r="P329" t="inlineStr">
        <is>
          <t>buildings,property management,house renovation</t>
        </is>
      </c>
      <c r="Q329" t="inlineStr">
        <is>
          <t>Not Found</t>
        </is>
      </c>
    </row>
    <row r="330">
      <c r="A330" t="inlineStr">
        <is>
          <t>54a76da67468696b7f5b8633</t>
        </is>
      </c>
      <c r="B330" t="inlineStr">
        <is>
          <t>Emma Lawrenson</t>
        </is>
      </c>
      <c r="C330">
        <f>HYPERLINK("http://www.linkedin.com/in/emma-lawrenson-3b3674a")</f>
        <v/>
      </c>
      <c r="D330" t="inlineStr">
        <is>
          <t>emma@chilternhouse.biz</t>
        </is>
      </c>
      <c r="E330" t="inlineStr">
        <is>
          <t>Owner Manager</t>
        </is>
      </c>
      <c r="F330">
        <f>HYPERLINK("https://app.apollo.io/#/people/54a76da67468696b7f5b8633")</f>
        <v/>
      </c>
      <c r="G330" t="inlineStr">
        <is>
          <t>Chiltern House Business Centre</t>
        </is>
      </c>
      <c r="H330">
        <f>HYPERLINK("https://app.apollo.io/#/organizations/55ea6073f3e5bb58e4007a37")</f>
        <v/>
      </c>
      <c r="I330">
        <f>HYPERLINK("http://www.chilternhouse.biz/")</f>
        <v/>
      </c>
      <c r="J330">
        <f>HYPERLINK("http://www.linkedin.com/company/chiltern-house-business-centre")</f>
        <v/>
      </c>
      <c r="K330">
        <f>HYPERLINK("Not Found")</f>
        <v/>
      </c>
      <c r="L330">
        <f>HYPERLINK("Not Found")</f>
        <v/>
      </c>
      <c r="M330" t="inlineStr">
        <is>
          <t>Henley-on-Thames, United Kingdom</t>
        </is>
      </c>
      <c r="N330" t="inlineStr">
        <is>
          <t>4</t>
        </is>
      </c>
      <c r="O330" t="inlineStr">
        <is>
          <t>Commercial Real Estate</t>
        </is>
      </c>
      <c r="P330" t="inlineStr">
        <is>
          <t>business address,business community</t>
        </is>
      </c>
      <c r="Q330" t="inlineStr">
        <is>
          <t>+441491845500</t>
        </is>
      </c>
    </row>
    <row r="331">
      <c r="A331" t="inlineStr">
        <is>
          <t>54a4ef527468692abfd42b6f</t>
        </is>
      </c>
      <c r="B331" t="inlineStr">
        <is>
          <t>Natalie Boyd</t>
        </is>
      </c>
      <c r="C331">
        <f>HYPERLINK("http://www.linkedin.com/in/natalie-boyd-29286b9a")</f>
        <v/>
      </c>
      <c r="D331" t="inlineStr">
        <is>
          <t>nboyd@lrg.co.uk</t>
        </is>
      </c>
      <c r="E331" t="inlineStr">
        <is>
          <t>Head of Move Management for Group Reisdential Sales</t>
        </is>
      </c>
      <c r="F331">
        <f>HYPERLINK("https://app.apollo.io/#/people/54a4ef527468692abfd42b6f")</f>
        <v/>
      </c>
      <c r="G331" t="inlineStr">
        <is>
          <t>Leaders Romans Group</t>
        </is>
      </c>
      <c r="H331">
        <f>HYPERLINK("https://app.apollo.io/#/accounts/6578b8bc85cede01ae5c466b")</f>
        <v/>
      </c>
      <c r="I331">
        <f>HYPERLINK("http://www.lrg.co.uk/")</f>
        <v/>
      </c>
      <c r="J331">
        <f>HYPERLINK("http://www.linkedin.com/company/leaders-romans-group")</f>
        <v/>
      </c>
      <c r="K331">
        <f>HYPERLINK("Not Found")</f>
        <v/>
      </c>
      <c r="L331">
        <f>HYPERLINK("Not Found")</f>
        <v/>
      </c>
      <c r="M331" t="inlineStr">
        <is>
          <t>Hook, United Kingdom</t>
        </is>
      </c>
      <c r="N331" t="inlineStr">
        <is>
          <t>2,600</t>
        </is>
      </c>
      <c r="O331" t="inlineStr">
        <is>
          <t>Commercial Real Estate</t>
        </is>
      </c>
      <c r="P331" t="inlineStr">
        <is>
          <t>estate agency,lettings,property investment</t>
        </is>
      </c>
      <c r="Q331" t="inlineStr">
        <is>
          <t>+441344753230</t>
        </is>
      </c>
    </row>
    <row r="332">
      <c r="A332" t="inlineStr">
        <is>
          <t>6022b06173febb0001c6b0fc</t>
        </is>
      </c>
      <c r="B332" t="inlineStr">
        <is>
          <t>David Cocola</t>
        </is>
      </c>
      <c r="C332">
        <f>HYPERLINK("http://www.linkedin.com/in/david-cocola-72921813")</f>
        <v/>
      </c>
      <c r="D332" t="inlineStr">
        <is>
          <t>dcocola@indusrt.com</t>
        </is>
      </c>
      <c r="E332" t="inlineStr">
        <is>
          <t>Vice President, Director of Property Managment</t>
        </is>
      </c>
      <c r="F332">
        <f>HYPERLINK("https://app.apollo.io/#/people/6022b06173febb0001c6b0fc")</f>
        <v/>
      </c>
      <c r="G332" t="inlineStr">
        <is>
          <t>INDUS Realty Trust, Inc.</t>
        </is>
      </c>
      <c r="H332">
        <f>HYPERLINK("https://app.apollo.io/#/organizations/57c4a834a6da984079f509f4")</f>
        <v/>
      </c>
      <c r="I332">
        <f>HYPERLINK("http://www.indusrt.com/")</f>
        <v/>
      </c>
      <c r="J332">
        <f>HYPERLINK("http://www.linkedin.com/company/indus-realty-trust-inc")</f>
        <v/>
      </c>
      <c r="K332">
        <f>HYPERLINK("https://twitter.com/indusrt")</f>
        <v/>
      </c>
      <c r="L332">
        <f>HYPERLINK("Not Found")</f>
        <v/>
      </c>
      <c r="M332" t="inlineStr">
        <is>
          <t>London, United Kingdom</t>
        </is>
      </c>
      <c r="N332" t="inlineStr">
        <is>
          <t>50</t>
        </is>
      </c>
      <c r="O332" t="inlineStr">
        <is>
          <t>Commercial Real Estate</t>
        </is>
      </c>
      <c r="P332" t="inlineStr">
        <is>
          <t>industrial real estate developer,industrial</t>
        </is>
      </c>
      <c r="Q332" t="inlineStr">
        <is>
          <t>(860)-286-7660</t>
        </is>
      </c>
    </row>
    <row r="333">
      <c r="A333" t="inlineStr">
        <is>
          <t>600abfe56383400001571b3e</t>
        </is>
      </c>
      <c r="B333" t="inlineStr">
        <is>
          <t>Oliver Taylor</t>
        </is>
      </c>
      <c r="C333">
        <f>HYPERLINK("http://www.linkedin.com/in/oliver-taylor-7134a048")</f>
        <v/>
      </c>
      <c r="D333" t="inlineStr">
        <is>
          <t>Not Found</t>
        </is>
      </c>
      <c r="E333" t="inlineStr">
        <is>
          <t>Co-Owner</t>
        </is>
      </c>
      <c r="F333">
        <f>HYPERLINK("https://app.apollo.io/#/people/600abfe56383400001571b3e")</f>
        <v/>
      </c>
      <c r="G333" t="inlineStr">
        <is>
          <t>Farm Street Capital</t>
        </is>
      </c>
      <c r="H333">
        <f>HYPERLINK("https://app.apollo.io/#/organizations/6048e6e7204a3d0001b8eb2f")</f>
        <v/>
      </c>
      <c r="I333">
        <f>HYPERLINK("http://www.farmstreet.com/")</f>
        <v/>
      </c>
      <c r="J333">
        <f>HYPERLINK("http://www.linkedin.com/company/farm-street-capital")</f>
        <v/>
      </c>
      <c r="K333">
        <f>HYPERLINK("https://twitter.com/farmstreetcap")</f>
        <v/>
      </c>
      <c r="L333">
        <f>HYPERLINK("Not Found")</f>
        <v/>
      </c>
      <c r="M333" t="inlineStr">
        <is>
          <t>London, United Kingdom</t>
        </is>
      </c>
      <c r="N333" t="inlineStr">
        <is>
          <t>5</t>
        </is>
      </c>
      <c r="O333" t="inlineStr">
        <is>
          <t>Commercial Real Estate</t>
        </is>
      </c>
      <c r="Q333" t="inlineStr">
        <is>
          <t>Not Found</t>
        </is>
      </c>
    </row>
    <row r="334">
      <c r="A334" t="inlineStr">
        <is>
          <t>57d9e3a0a6da987634153cd0</t>
        </is>
      </c>
      <c r="B334" t="inlineStr">
        <is>
          <t>James Harrocks</t>
        </is>
      </c>
      <c r="C334">
        <f>HYPERLINK("http://www.linkedin.com/in/james-harrocks-527a0973")</f>
        <v/>
      </c>
      <c r="D334" t="inlineStr">
        <is>
          <t>Not Found</t>
        </is>
      </c>
      <c r="E334" t="inlineStr">
        <is>
          <t>Principal Owner</t>
        </is>
      </c>
      <c r="F334">
        <f>HYPERLINK("https://app.apollo.io/#/people/57d9e3a0a6da987634153cd0")</f>
        <v/>
      </c>
      <c r="G334" t="inlineStr">
        <is>
          <t>Harrocks Commercial Property LTD</t>
        </is>
      </c>
      <c r="H334">
        <f>HYPERLINK("https://app.apollo.io/#/organizations/5e58199561258d00012a42c0")</f>
        <v/>
      </c>
      <c r="I334">
        <f>HYPERLINK("http://www.harrocks.co.uk/")</f>
        <v/>
      </c>
      <c r="J334">
        <f>HYPERLINK("http://www.linkedin.com/company/harrocks-commercial-property-ltd")</f>
        <v/>
      </c>
      <c r="K334">
        <f>HYPERLINK("Not Found")</f>
        <v/>
      </c>
      <c r="L334">
        <f>HYPERLINK("Not Found")</f>
        <v/>
      </c>
      <c r="M334" t="inlineStr">
        <is>
          <t>Liverpool, United Kingdom</t>
        </is>
      </c>
      <c r="N334" t="inlineStr">
        <is>
          <t>1</t>
        </is>
      </c>
      <c r="O334" t="inlineStr">
        <is>
          <t>Commercial Real Estate</t>
        </is>
      </c>
      <c r="Q334" t="inlineStr">
        <is>
          <t>Not Found</t>
        </is>
      </c>
    </row>
    <row r="335">
      <c r="A335" t="inlineStr">
        <is>
          <t>6578be1280740b01aedf6912</t>
        </is>
      </c>
      <c r="B335" t="inlineStr">
        <is>
          <t>Zak Veasey</t>
        </is>
      </c>
      <c r="C335">
        <f>HYPERLINK("http://www.linkedin.com/in/zak-veasey-0b115819")</f>
        <v/>
      </c>
      <c r="D335" t="inlineStr">
        <is>
          <t>zak@v7am.com</t>
        </is>
      </c>
      <c r="E335" t="inlineStr">
        <is>
          <t>Co-founder and Director</t>
        </is>
      </c>
      <c r="F335">
        <f>HYPERLINK("https://app.apollo.io/#/contacts/6578be1280740b01aedf6912")</f>
        <v/>
      </c>
      <c r="G335" t="inlineStr">
        <is>
          <t>V7</t>
        </is>
      </c>
      <c r="H335">
        <f>HYPERLINK("https://app.apollo.io/#/accounts/6578be1280740b01aedf6913")</f>
        <v/>
      </c>
      <c r="I335">
        <f>HYPERLINK("http://www.v7am.com/")</f>
        <v/>
      </c>
      <c r="J335">
        <f>HYPERLINK("http://www.linkedin.com/company/v7am")</f>
        <v/>
      </c>
      <c r="K335">
        <f>HYPERLINK("Not Found")</f>
        <v/>
      </c>
      <c r="L335">
        <f>HYPERLINK("Not Found")</f>
        <v/>
      </c>
      <c r="M335" t="inlineStr">
        <is>
          <t>London, United Kingdom</t>
        </is>
      </c>
      <c r="N335" t="inlineStr">
        <is>
          <t>24</t>
        </is>
      </c>
      <c r="O335" t="inlineStr">
        <is>
          <t>Commercial Real Estate</t>
        </is>
      </c>
      <c r="P335" t="inlineStr">
        <is>
          <t>commercial property asset management</t>
        </is>
      </c>
      <c r="Q335" t="inlineStr">
        <is>
          <t>+447717707527</t>
        </is>
      </c>
    </row>
    <row r="336">
      <c r="A336" t="inlineStr">
        <is>
          <t>60d16592b5fa380001414fcc</t>
        </is>
      </c>
      <c r="B336" t="inlineStr">
        <is>
          <t>John Adams</t>
        </is>
      </c>
      <c r="C336">
        <f>HYPERLINK("http://www.linkedin.com/in/john-adams-4a87307")</f>
        <v/>
      </c>
      <c r="D336" t="inlineStr">
        <is>
          <t>john.adams@jnaproperty.com</t>
        </is>
      </c>
      <c r="E336" t="inlineStr">
        <is>
          <t>Company Owner</t>
        </is>
      </c>
      <c r="F336">
        <f>HYPERLINK("https://app.apollo.io/#/people/60d16592b5fa380001414fcc")</f>
        <v/>
      </c>
      <c r="G336" t="inlineStr">
        <is>
          <t>Jones Norris Adams Chartered Surveyors</t>
        </is>
      </c>
      <c r="H336">
        <f>HYPERLINK("https://app.apollo.io/#/organizations/54a1201b69702da10f1a3402")</f>
        <v/>
      </c>
      <c r="I336">
        <f>HYPERLINK("http://www.jnaproperty.com/")</f>
        <v/>
      </c>
      <c r="J336">
        <f>HYPERLINK("http://www.linkedin.com/company/jones-norris-adams-chartered-surveyors")</f>
        <v/>
      </c>
      <c r="K336">
        <f>HYPERLINK("Not Found")</f>
        <v/>
      </c>
      <c r="L336">
        <f>HYPERLINK("Not Found")</f>
        <v/>
      </c>
      <c r="M336" t="inlineStr">
        <is>
          <t>London, United Kingdom</t>
        </is>
      </c>
      <c r="N336" t="inlineStr">
        <is>
          <t>5</t>
        </is>
      </c>
      <c r="O336" t="inlineStr">
        <is>
          <t>Commercial Real Estate</t>
        </is>
      </c>
      <c r="P336" t="inlineStr">
        <is>
          <t>lease renewals,business rates advice</t>
        </is>
      </c>
      <c r="Q336" t="inlineStr">
        <is>
          <t>+442074910207</t>
        </is>
      </c>
    </row>
    <row r="337">
      <c r="A337" t="inlineStr">
        <is>
          <t>54a4a5757468692fa2583058</t>
        </is>
      </c>
      <c r="B337" t="inlineStr">
        <is>
          <t>Nik Cox</t>
        </is>
      </c>
      <c r="C337">
        <f>HYPERLINK("http://www.linkedin.com/in/nikcox")</f>
        <v/>
      </c>
      <c r="D337" t="inlineStr">
        <is>
          <t>ncox@vailwilliams.com</t>
        </is>
      </c>
      <c r="E337" t="inlineStr">
        <is>
          <t>Partner and LLP Member</t>
        </is>
      </c>
      <c r="F337">
        <f>HYPERLINK("https://app.apollo.io/#/people/54a4a5757468692fa2583058")</f>
        <v/>
      </c>
      <c r="G337" t="inlineStr">
        <is>
          <t>Vail Williams</t>
        </is>
      </c>
      <c r="H337">
        <f>HYPERLINK("https://app.apollo.io/#/accounts/6578bf02ccf69c02cc54f0ad")</f>
        <v/>
      </c>
      <c r="I337">
        <f>HYPERLINK("http://www.vailwilliams.com/")</f>
        <v/>
      </c>
      <c r="J337">
        <f>HYPERLINK("http://www.linkedin.com/company/vail-williams")</f>
        <v/>
      </c>
      <c r="K337">
        <f>HYPERLINK("https://twitter.com/vailwilliams")</f>
        <v/>
      </c>
      <c r="L337">
        <f>HYPERLINK("https://www.facebook.com/vailwilliams")</f>
        <v/>
      </c>
      <c r="M337" t="inlineStr">
        <is>
          <t>Southampton, United Kingdom</t>
        </is>
      </c>
      <c r="N337" t="inlineStr">
        <is>
          <t>200</t>
        </is>
      </c>
      <c r="O337" t="inlineStr">
        <is>
          <t>Commercial Real Estate</t>
        </is>
      </c>
      <c r="P337" t="inlineStr">
        <is>
          <t>real estate,real estate agents</t>
        </is>
      </c>
      <c r="Q337" t="inlineStr">
        <is>
          <t>+442035890080</t>
        </is>
      </c>
    </row>
    <row r="338">
      <c r="A338" t="inlineStr">
        <is>
          <t>54ec0b79746869444cac1344</t>
        </is>
      </c>
      <c r="B338" t="inlineStr">
        <is>
          <t>Peter Percival</t>
        </is>
      </c>
      <c r="C338">
        <f>HYPERLINK("http://www.linkedin.com/in/peter-percival-770a0811")</f>
        <v/>
      </c>
      <c r="D338" t="inlineStr">
        <is>
          <t>peter.percival@levyrealestate.co.uk</t>
        </is>
      </c>
      <c r="E338" t="inlineStr">
        <is>
          <t>Partner - Head of Finance</t>
        </is>
      </c>
      <c r="F338">
        <f>HYPERLINK("https://app.apollo.io/#/people/54ec0b79746869444cac1344")</f>
        <v/>
      </c>
      <c r="G338" t="inlineStr">
        <is>
          <t>Levy Real Estate</t>
        </is>
      </c>
      <c r="H338">
        <f>HYPERLINK("https://app.apollo.io/#/accounts/6578bf7ebeafb901ae2d44bf")</f>
        <v/>
      </c>
      <c r="I338">
        <f>HYPERLINK("http://www.levyrealestate.co.uk/")</f>
        <v/>
      </c>
      <c r="J338">
        <f>HYPERLINK("http://www.linkedin.com/company/levyrealestate")</f>
        <v/>
      </c>
      <c r="K338">
        <f>HYPERLINK("Not Found")</f>
        <v/>
      </c>
      <c r="L338">
        <f>HYPERLINK("Not Found")</f>
        <v/>
      </c>
      <c r="M338" t="inlineStr">
        <is>
          <t>Greenhithe, United Kingdom</t>
        </is>
      </c>
      <c r="N338" t="inlineStr">
        <is>
          <t>50</t>
        </is>
      </c>
      <c r="O338" t="inlineStr">
        <is>
          <t>Commercial Real Estate</t>
        </is>
      </c>
      <c r="Q338" t="inlineStr">
        <is>
          <t>+442077470125</t>
        </is>
      </c>
    </row>
    <row r="339">
      <c r="A339" t="inlineStr">
        <is>
          <t>5570682b73696451a7733000</t>
        </is>
      </c>
      <c r="B339" t="inlineStr">
        <is>
          <t>Jordan Hicks</t>
        </is>
      </c>
      <c r="C339">
        <f>HYPERLINK("http://www.linkedin.com/in/jordan-hicks-3a274885")</f>
        <v/>
      </c>
      <c r="D339" t="inlineStr">
        <is>
          <t>Not Found</t>
        </is>
      </c>
      <c r="E339" t="inlineStr">
        <is>
          <t>Talent Acquisition Partner</t>
        </is>
      </c>
      <c r="F339">
        <f>HYPERLINK("https://app.apollo.io/#/people/5570682b73696451a7733000")</f>
        <v/>
      </c>
      <c r="G339" t="inlineStr">
        <is>
          <t>CBRE Global Workplace Solutions (GWS)</t>
        </is>
      </c>
      <c r="H339">
        <f>HYPERLINK("https://app.apollo.io/#/accounts/6509fed6f449800001b69a15")</f>
        <v/>
      </c>
      <c r="I339">
        <f>HYPERLINK("http://www.coor.com/")</f>
        <v/>
      </c>
      <c r="J339">
        <f>HYPERLINK("http://www.linkedin.com/company/cbre-gws")</f>
        <v/>
      </c>
      <c r="K339">
        <f>HYPERLINK("Not Found")</f>
        <v/>
      </c>
      <c r="L339">
        <f>HYPERLINK("Not Found")</f>
        <v/>
      </c>
      <c r="M339" t="inlineStr">
        <is>
          <t>Dartford, United Kingdom</t>
        </is>
      </c>
      <c r="N339" t="inlineStr">
        <is>
          <t>15,000</t>
        </is>
      </c>
      <c r="O339" t="inlineStr">
        <is>
          <t>Commercial Real Estate</t>
        </is>
      </c>
      <c r="P339" t="inlineStr">
        <is>
          <t>project management,advisory,transaction services</t>
        </is>
      </c>
      <c r="Q339" t="inlineStr">
        <is>
          <t>Not Found</t>
        </is>
      </c>
    </row>
    <row r="340">
      <c r="A340" t="inlineStr">
        <is>
          <t>6390b866d32d5600019f125a</t>
        </is>
      </c>
      <c r="B340" t="inlineStr">
        <is>
          <t>James Lacey</t>
        </is>
      </c>
      <c r="C340">
        <f>HYPERLINK("http://www.linkedin.com/in/jlacey-75")</f>
        <v/>
      </c>
      <c r="D340" t="inlineStr">
        <is>
          <t>jlacey@vailwilliams.com</t>
        </is>
      </c>
      <c r="E340" t="inlineStr">
        <is>
          <t>Regional Managing Partner</t>
        </is>
      </c>
      <c r="F340">
        <f>HYPERLINK("https://app.apollo.io/#/people/6390b866d32d5600019f125a")</f>
        <v/>
      </c>
      <c r="G340" t="inlineStr">
        <is>
          <t>Vail Williams</t>
        </is>
      </c>
      <c r="H340">
        <f>HYPERLINK("https://app.apollo.io/#/accounts/6578bf02ccf69c02cc54f0ad")</f>
        <v/>
      </c>
      <c r="I340">
        <f>HYPERLINK("http://www.vailwilliams.com/")</f>
        <v/>
      </c>
      <c r="J340">
        <f>HYPERLINK("http://www.linkedin.com/company/vail-williams")</f>
        <v/>
      </c>
      <c r="K340">
        <f>HYPERLINK("https://twitter.com/vailwilliams")</f>
        <v/>
      </c>
      <c r="L340">
        <f>HYPERLINK("https://www.facebook.com/vailwilliams")</f>
        <v/>
      </c>
      <c r="M340" t="inlineStr">
        <is>
          <t>United Kingdom</t>
        </is>
      </c>
      <c r="N340" t="inlineStr">
        <is>
          <t>200</t>
        </is>
      </c>
      <c r="O340" t="inlineStr">
        <is>
          <t>Commercial Real Estate</t>
        </is>
      </c>
      <c r="P340" t="inlineStr">
        <is>
          <t>real estate,real estate agents</t>
        </is>
      </c>
      <c r="Q340" t="inlineStr">
        <is>
          <t>+442035890080</t>
        </is>
      </c>
    </row>
    <row r="341">
      <c r="A341" t="inlineStr">
        <is>
          <t>54a29f357468692e71572e31</t>
        </is>
      </c>
      <c r="B341" t="inlineStr">
        <is>
          <t>Benedict Tyers</t>
        </is>
      </c>
      <c r="C341">
        <f>HYPERLINK("http://www.linkedin.com/in/benedict-tyers-a701396b")</f>
        <v/>
      </c>
      <c r="D341" t="inlineStr">
        <is>
          <t>benedict.tyers@landsec.com</t>
        </is>
      </c>
      <c r="E341" t="inlineStr">
        <is>
          <t>Head of Category for IT, Marketing, and Professional Services</t>
        </is>
      </c>
      <c r="F341">
        <f>HYPERLINK("https://app.apollo.io/#/people/54a29f357468692e71572e31")</f>
        <v/>
      </c>
      <c r="G341" t="inlineStr">
        <is>
          <t>Landsec</t>
        </is>
      </c>
      <c r="H341">
        <f>HYPERLINK("https://app.apollo.io/#/accounts/6578b86a75dc3a02ccc995c8")</f>
        <v/>
      </c>
      <c r="I341">
        <f>HYPERLINK("http://www.landsec.com/")</f>
        <v/>
      </c>
      <c r="J341">
        <f>HYPERLINK("http://www.linkedin.com/company/landsec")</f>
        <v/>
      </c>
      <c r="K341">
        <f>HYPERLINK("https://twitter.com/landsecgroup?lang=en")</f>
        <v/>
      </c>
      <c r="L341">
        <f>HYPERLINK("https://facebook.com/pages/category/Real-Estate-Company/Landsec-Group-335042077050643/")</f>
        <v/>
      </c>
      <c r="M341" t="inlineStr">
        <is>
          <t>London, United Kingdom</t>
        </is>
      </c>
      <c r="N341" t="inlineStr">
        <is>
          <t>860</t>
        </is>
      </c>
      <c r="O341" t="inlineStr">
        <is>
          <t>Commercial Real Estate</t>
        </is>
      </c>
      <c r="P341" t="inlineStr">
        <is>
          <t>property investment,management &amp; development</t>
        </is>
      </c>
      <c r="Q341" t="inlineStr">
        <is>
          <t>+442074139000</t>
        </is>
      </c>
    </row>
    <row r="342">
      <c r="A342" t="inlineStr">
        <is>
          <t>54a8e8f974686930ad891408</t>
        </is>
      </c>
      <c r="B342" t="inlineStr">
        <is>
          <t>Carole Taylor</t>
        </is>
      </c>
      <c r="C342">
        <f>HYPERLINK("http://www.linkedin.com/in/carole-taylor-71788314")</f>
        <v/>
      </c>
      <c r="D342" t="inlineStr">
        <is>
          <t>ctaylor@vailwilliams.com</t>
        </is>
      </c>
      <c r="E342" t="inlineStr">
        <is>
          <t>Regional Managing Partner</t>
        </is>
      </c>
      <c r="F342">
        <f>HYPERLINK("https://app.apollo.io/#/people/54a8e8f974686930ad891408")</f>
        <v/>
      </c>
      <c r="G342" t="inlineStr">
        <is>
          <t>Vail Williams</t>
        </is>
      </c>
      <c r="H342">
        <f>HYPERLINK("https://app.apollo.io/#/accounts/6578bf02ccf69c02cc54f0ad")</f>
        <v/>
      </c>
      <c r="I342">
        <f>HYPERLINK("http://www.vailwilliams.com/")</f>
        <v/>
      </c>
      <c r="J342">
        <f>HYPERLINK("http://www.linkedin.com/company/vail-williams")</f>
        <v/>
      </c>
      <c r="K342">
        <f>HYPERLINK("https://twitter.com/vailwilliams")</f>
        <v/>
      </c>
      <c r="L342">
        <f>HYPERLINK("https://www.facebook.com/vailwilliams")</f>
        <v/>
      </c>
      <c r="M342" t="inlineStr">
        <is>
          <t>England, United Kingdom</t>
        </is>
      </c>
      <c r="N342" t="inlineStr">
        <is>
          <t>200</t>
        </is>
      </c>
      <c r="O342" t="inlineStr">
        <is>
          <t>Commercial Real Estate</t>
        </is>
      </c>
      <c r="P342" t="inlineStr">
        <is>
          <t>real estate,real estate agents</t>
        </is>
      </c>
      <c r="Q342" t="inlineStr">
        <is>
          <t>+442035890080</t>
        </is>
      </c>
    </row>
    <row r="343">
      <c r="A343" t="inlineStr">
        <is>
          <t>605cba5ef2ae910001be0df0</t>
        </is>
      </c>
      <c r="B343" t="inlineStr">
        <is>
          <t>Daisy McLachlan</t>
        </is>
      </c>
      <c r="C343">
        <f>HYPERLINK("http://www.linkedin.com/in/daisy-mclachlan-244663173")</f>
        <v/>
      </c>
      <c r="D343" t="inlineStr">
        <is>
          <t>Not Found</t>
        </is>
      </c>
      <c r="E343" t="inlineStr">
        <is>
          <t>Talent Acquisition Partner</t>
        </is>
      </c>
      <c r="F343">
        <f>HYPERLINK("https://app.apollo.io/#/people/605cba5ef2ae910001be0df0")</f>
        <v/>
      </c>
      <c r="G343" t="inlineStr">
        <is>
          <t>CBRE Global Workplace Solutions (GWS)</t>
        </is>
      </c>
      <c r="H343">
        <f>HYPERLINK("https://app.apollo.io/#/accounts/6509fed6f449800001b69a15")</f>
        <v/>
      </c>
      <c r="I343">
        <f>HYPERLINK("http://www.coor.com/")</f>
        <v/>
      </c>
      <c r="J343">
        <f>HYPERLINK("http://www.linkedin.com/company/cbre-gws")</f>
        <v/>
      </c>
      <c r="K343">
        <f>HYPERLINK("Not Found")</f>
        <v/>
      </c>
      <c r="L343">
        <f>HYPERLINK("Not Found")</f>
        <v/>
      </c>
      <c r="M343" t="inlineStr">
        <is>
          <t>London, United Kingdom</t>
        </is>
      </c>
      <c r="N343" t="inlineStr">
        <is>
          <t>15,000</t>
        </is>
      </c>
      <c r="O343" t="inlineStr">
        <is>
          <t>Commercial Real Estate</t>
        </is>
      </c>
      <c r="P343" t="inlineStr">
        <is>
          <t>project management,advisory,transaction services</t>
        </is>
      </c>
      <c r="Q343" t="inlineStr">
        <is>
          <t>Not Found</t>
        </is>
      </c>
    </row>
    <row r="344">
      <c r="A344" t="inlineStr">
        <is>
          <t>6263818a7ef7380001a67bba</t>
        </is>
      </c>
      <c r="B344" t="inlineStr">
        <is>
          <t>Razna Khatun</t>
        </is>
      </c>
      <c r="C344">
        <f>HYPERLINK("http://www.linkedin.com/in/razna-khatun-8a8a4b231")</f>
        <v/>
      </c>
      <c r="D344" t="inlineStr">
        <is>
          <t>rkhatun@lrg.co.uk</t>
        </is>
      </c>
      <c r="E344" t="inlineStr">
        <is>
          <t>Culture &amp; Engagement Partner</t>
        </is>
      </c>
      <c r="F344">
        <f>HYPERLINK("https://app.apollo.io/#/people/6263818a7ef7380001a67bba")</f>
        <v/>
      </c>
      <c r="G344" t="inlineStr">
        <is>
          <t>Leaders Romans Group</t>
        </is>
      </c>
      <c r="H344">
        <f>HYPERLINK("https://app.apollo.io/#/accounts/6578b8bc85cede01ae5c466b")</f>
        <v/>
      </c>
      <c r="I344">
        <f>HYPERLINK("http://www.lrg.co.uk/")</f>
        <v/>
      </c>
      <c r="J344">
        <f>HYPERLINK("http://www.linkedin.com/company/leaders-romans-group")</f>
        <v/>
      </c>
      <c r="K344">
        <f>HYPERLINK("Not Found")</f>
        <v/>
      </c>
      <c r="L344">
        <f>HYPERLINK("Not Found")</f>
        <v/>
      </c>
      <c r="M344" t="inlineStr">
        <is>
          <t>Reading, United Kingdom</t>
        </is>
      </c>
      <c r="N344" t="inlineStr">
        <is>
          <t>2,600</t>
        </is>
      </c>
      <c r="O344" t="inlineStr">
        <is>
          <t>Commercial Real Estate</t>
        </is>
      </c>
      <c r="P344" t="inlineStr">
        <is>
          <t>estate agency,lettings,property investment</t>
        </is>
      </c>
      <c r="Q344" t="inlineStr">
        <is>
          <t>+441344753230</t>
        </is>
      </c>
    </row>
    <row r="345">
      <c r="A345" t="inlineStr">
        <is>
          <t>54a30d0a7468692e7196ac50</t>
        </is>
      </c>
      <c r="B345" t="inlineStr">
        <is>
          <t>Carl Walker</t>
        </is>
      </c>
      <c r="C345">
        <f>HYPERLINK("http://www.linkedin.com/in/carlejwalker")</f>
        <v/>
      </c>
      <c r="D345" t="inlineStr">
        <is>
          <t>cwalker@vailwilliams.com</t>
        </is>
      </c>
      <c r="E345" t="inlineStr">
        <is>
          <t>Partner &amp; LLP Member</t>
        </is>
      </c>
      <c r="F345">
        <f>HYPERLINK("https://app.apollo.io/#/people/54a30d0a7468692e7196ac50")</f>
        <v/>
      </c>
      <c r="G345" t="inlineStr">
        <is>
          <t>Vail Williams</t>
        </is>
      </c>
      <c r="H345">
        <f>HYPERLINK("https://app.apollo.io/#/accounts/6578bf02ccf69c02cc54f0ad")</f>
        <v/>
      </c>
      <c r="I345">
        <f>HYPERLINK("http://www.vailwilliams.com/")</f>
        <v/>
      </c>
      <c r="J345">
        <f>HYPERLINK("http://www.linkedin.com/company/vail-williams")</f>
        <v/>
      </c>
      <c r="K345">
        <f>HYPERLINK("https://twitter.com/vailwilliams")</f>
        <v/>
      </c>
      <c r="L345">
        <f>HYPERLINK("https://www.facebook.com/vailwilliams")</f>
        <v/>
      </c>
      <c r="M345" t="inlineStr">
        <is>
          <t>Southampton, United Kingdom</t>
        </is>
      </c>
      <c r="N345" t="inlineStr">
        <is>
          <t>200</t>
        </is>
      </c>
      <c r="O345" t="inlineStr">
        <is>
          <t>Commercial Real Estate</t>
        </is>
      </c>
      <c r="P345" t="inlineStr">
        <is>
          <t>real estate,real estate agents</t>
        </is>
      </c>
      <c r="Q345" t="inlineStr">
        <is>
          <t>+442035890080</t>
        </is>
      </c>
    </row>
    <row r="346">
      <c r="A346" t="inlineStr">
        <is>
          <t>614e99e13d75de00011cd5ef</t>
        </is>
      </c>
      <c r="B346" t="inlineStr">
        <is>
          <t>Alex Hughes</t>
        </is>
      </c>
      <c r="C346">
        <f>HYPERLINK("http://www.linkedin.com/in/alex-hughes-ba8ab9195")</f>
        <v/>
      </c>
      <c r="D346" t="inlineStr">
        <is>
          <t>Not Found</t>
        </is>
      </c>
      <c r="E346" t="inlineStr">
        <is>
          <t>Talent Acquisition Partner</t>
        </is>
      </c>
      <c r="F346">
        <f>HYPERLINK("https://app.apollo.io/#/people/614e99e13d75de00011cd5ef")</f>
        <v/>
      </c>
      <c r="G346" t="inlineStr">
        <is>
          <t>CBRE Global Workplace Solutions (GWS)</t>
        </is>
      </c>
      <c r="H346">
        <f>HYPERLINK("https://app.apollo.io/#/accounts/6509fed6f449800001b69a15")</f>
        <v/>
      </c>
      <c r="I346">
        <f>HYPERLINK("http://www.coor.com/")</f>
        <v/>
      </c>
      <c r="J346">
        <f>HYPERLINK("http://www.linkedin.com/company/cbre-gws")</f>
        <v/>
      </c>
      <c r="K346">
        <f>HYPERLINK("Not Found")</f>
        <v/>
      </c>
      <c r="L346">
        <f>HYPERLINK("Not Found")</f>
        <v/>
      </c>
      <c r="M346" t="inlineStr">
        <is>
          <t>London, United Kingdom</t>
        </is>
      </c>
      <c r="N346" t="inlineStr">
        <is>
          <t>15,000</t>
        </is>
      </c>
      <c r="O346" t="inlineStr">
        <is>
          <t>Commercial Real Estate</t>
        </is>
      </c>
      <c r="P346" t="inlineStr">
        <is>
          <t>project management,advisory,transaction services</t>
        </is>
      </c>
      <c r="Q346" t="inlineStr">
        <is>
          <t>Not Found</t>
        </is>
      </c>
    </row>
    <row r="347">
      <c r="A347" t="inlineStr">
        <is>
          <t>6122451bfd4ca800012392c0</t>
        </is>
      </c>
      <c r="B347" t="inlineStr">
        <is>
          <t>Russell Fnara</t>
        </is>
      </c>
      <c r="C347">
        <f>HYPERLINK("http://www.linkedin.com/in/russell-miller")</f>
        <v/>
      </c>
      <c r="D347" t="inlineStr">
        <is>
          <t>rmiller@vailwilliams.com</t>
        </is>
      </c>
      <c r="E347" t="inlineStr">
        <is>
          <t>Regional Managing Partner</t>
        </is>
      </c>
      <c r="F347">
        <f>HYPERLINK("https://app.apollo.io/#/people/6122451bfd4ca800012392c0")</f>
        <v/>
      </c>
      <c r="G347" t="inlineStr">
        <is>
          <t>Vail Williams</t>
        </is>
      </c>
      <c r="H347">
        <f>HYPERLINK("https://app.apollo.io/#/accounts/6578bf02ccf69c02cc54f0ad")</f>
        <v/>
      </c>
      <c r="I347">
        <f>HYPERLINK("http://www.vailwilliams.com/")</f>
        <v/>
      </c>
      <c r="J347">
        <f>HYPERLINK("http://www.linkedin.com/company/vail-williams")</f>
        <v/>
      </c>
      <c r="K347">
        <f>HYPERLINK("https://twitter.com/vailwilliams")</f>
        <v/>
      </c>
      <c r="L347">
        <f>HYPERLINK("https://www.facebook.com/vailwilliams")</f>
        <v/>
      </c>
      <c r="M347" t="inlineStr">
        <is>
          <t>Eastleigh, United Kingdom</t>
        </is>
      </c>
      <c r="N347" t="inlineStr">
        <is>
          <t>200</t>
        </is>
      </c>
      <c r="O347" t="inlineStr">
        <is>
          <t>Commercial Real Estate</t>
        </is>
      </c>
      <c r="P347" t="inlineStr">
        <is>
          <t>real estate,real estate agents</t>
        </is>
      </c>
      <c r="Q347" t="inlineStr">
        <is>
          <t>+442035890080</t>
        </is>
      </c>
    </row>
    <row r="348">
      <c r="A348" t="inlineStr">
        <is>
          <t>55708c2c73696426c6b50000</t>
        </is>
      </c>
      <c r="B348" t="inlineStr">
        <is>
          <t>Richard Dawtrey</t>
        </is>
      </c>
      <c r="C348">
        <f>HYPERLINK("http://www.linkedin.com/in/richard-dawtrey-69a3951b")</f>
        <v/>
      </c>
      <c r="D348" t="inlineStr">
        <is>
          <t>rdawtrey@vailwilliams.com</t>
        </is>
      </c>
      <c r="E348" t="inlineStr">
        <is>
          <t>Lead Partner of Investment</t>
        </is>
      </c>
      <c r="F348">
        <f>HYPERLINK("https://app.apollo.io/#/people/55708c2c73696426c6b50000")</f>
        <v/>
      </c>
      <c r="G348" t="inlineStr">
        <is>
          <t>Vail Williams</t>
        </is>
      </c>
      <c r="H348">
        <f>HYPERLINK("https://app.apollo.io/#/accounts/6578bf02ccf69c02cc54f0ad")</f>
        <v/>
      </c>
      <c r="I348">
        <f>HYPERLINK("http://www.vailwilliams.com/")</f>
        <v/>
      </c>
      <c r="J348">
        <f>HYPERLINK("http://www.linkedin.com/company/vail-williams")</f>
        <v/>
      </c>
      <c r="K348">
        <f>HYPERLINK("https://twitter.com/vailwilliams")</f>
        <v/>
      </c>
      <c r="L348">
        <f>HYPERLINK("https://www.facebook.com/vailwilliams")</f>
        <v/>
      </c>
      <c r="M348" t="inlineStr">
        <is>
          <t>London, United Kingdom</t>
        </is>
      </c>
      <c r="N348" t="inlineStr">
        <is>
          <t>200</t>
        </is>
      </c>
      <c r="O348" t="inlineStr">
        <is>
          <t>Commercial Real Estate</t>
        </is>
      </c>
      <c r="P348" t="inlineStr">
        <is>
          <t>real estate,real estate agents</t>
        </is>
      </c>
      <c r="Q348" t="inlineStr">
        <is>
          <t>+442035890080</t>
        </is>
      </c>
    </row>
    <row r="349">
      <c r="A349" t="inlineStr">
        <is>
          <t>6578bcb206d0c302d071126a</t>
        </is>
      </c>
      <c r="B349" t="inlineStr">
        <is>
          <t>Stephen Shorter</t>
        </is>
      </c>
      <c r="C349">
        <f>HYPERLINK("http://www.linkedin.com/in/stephen-shorter-765a2a34")</f>
        <v/>
      </c>
      <c r="D349" t="inlineStr">
        <is>
          <t>sshorter@cobaltrecruitment.com</t>
        </is>
      </c>
      <c r="E349" t="inlineStr">
        <is>
          <t>Group CEO</t>
        </is>
      </c>
      <c r="F349">
        <f>HYPERLINK("https://app.apollo.io/#/contacts/6578bcb206d0c302d071126a")</f>
        <v/>
      </c>
      <c r="G349" t="inlineStr">
        <is>
          <t>Cobalt Recruitment</t>
        </is>
      </c>
      <c r="H349">
        <f>HYPERLINK("https://app.apollo.io/#/accounts/6578bcb206d0c302d071126c")</f>
        <v/>
      </c>
      <c r="I349">
        <f>HYPERLINK("http://www.cobaltrecruitment.co.uk/")</f>
        <v/>
      </c>
      <c r="J349">
        <f>HYPERLINK("http://www.linkedin.com/company/cobalt-recruitment")</f>
        <v/>
      </c>
      <c r="K349">
        <f>HYPERLINK("https://twitter.com/CobaltRecruit")</f>
        <v/>
      </c>
      <c r="L349">
        <f>HYPERLINK("https://www.facebook.com/cobaltrecruitment/")</f>
        <v/>
      </c>
      <c r="M349" t="inlineStr">
        <is>
          <t>Stromness, United Kingdom</t>
        </is>
      </c>
      <c r="N349" t="inlineStr">
        <is>
          <t>130</t>
        </is>
      </c>
      <c r="O349" t="inlineStr">
        <is>
          <t>Commercial Real Estate</t>
        </is>
      </c>
      <c r="P349" t="inlineStr">
        <is>
          <t>accounting,real estate,infrastructure</t>
        </is>
      </c>
      <c r="Q349" t="inlineStr">
        <is>
          <t>+442074782574</t>
        </is>
      </c>
    </row>
    <row r="350">
      <c r="A350" t="inlineStr">
        <is>
          <t>604c8acb3ca3700001c11931</t>
        </is>
      </c>
      <c r="B350" t="inlineStr">
        <is>
          <t>Jamie Read</t>
        </is>
      </c>
      <c r="C350">
        <f>HYPERLINK("http://www.linkedin.com/in/jamiereadproperty")</f>
        <v/>
      </c>
      <c r="D350" t="inlineStr">
        <is>
          <t>jamie@tavistockbow.com</t>
        </is>
      </c>
      <c r="E350" t="inlineStr">
        <is>
          <t>Co-Founding Partner</t>
        </is>
      </c>
      <c r="F350">
        <f>HYPERLINK("https://app.apollo.io/#/people/604c8acb3ca3700001c11931")</f>
        <v/>
      </c>
      <c r="G350" t="inlineStr">
        <is>
          <t>Tavistock Bow</t>
        </is>
      </c>
      <c r="H350">
        <f>HYPERLINK("https://app.apollo.io/#/accounts/6578bf4bccf69c02cc54f1e3")</f>
        <v/>
      </c>
      <c r="I350">
        <f>HYPERLINK("http://www.tavistockbow.com/")</f>
        <v/>
      </c>
      <c r="J350">
        <f>HYPERLINK("http://www.linkedin.com/company/tavistock-bow")</f>
        <v/>
      </c>
      <c r="K350">
        <f>HYPERLINK("https://twitter.com/tavistockbow")</f>
        <v/>
      </c>
      <c r="L350">
        <f>HYPERLINK("https://www.facebook.com/tavistockbow")</f>
        <v/>
      </c>
      <c r="M350" t="inlineStr">
        <is>
          <t>London, United Kingdom</t>
        </is>
      </c>
      <c r="N350" t="inlineStr">
        <is>
          <t>9</t>
        </is>
      </c>
      <c r="O350" t="inlineStr">
        <is>
          <t>Commercial Real Estate</t>
        </is>
      </c>
      <c r="P350" t="inlineStr">
        <is>
          <t>commercial real estate,residential property</t>
        </is>
      </c>
      <c r="Q350" t="inlineStr">
        <is>
          <t>+442074772177</t>
        </is>
      </c>
    </row>
    <row r="351">
      <c r="A351" t="inlineStr">
        <is>
          <t>54a4ebc87468692fa23d5b6e</t>
        </is>
      </c>
      <c r="B351" t="inlineStr">
        <is>
          <t>Geoff Fallon</t>
        </is>
      </c>
      <c r="C351">
        <f>HYPERLINK("http://www.linkedin.com/in/geoff-fallon-3314977")</f>
        <v/>
      </c>
      <c r="D351" t="inlineStr">
        <is>
          <t>gfallon@vailwilliams.com</t>
        </is>
      </c>
      <c r="E351" t="inlineStr">
        <is>
          <t>Regional Managing Partner</t>
        </is>
      </c>
      <c r="F351">
        <f>HYPERLINK("https://app.apollo.io/#/people/54a4ebc87468692fa23d5b6e")</f>
        <v/>
      </c>
      <c r="G351" t="inlineStr">
        <is>
          <t>Vail Williams</t>
        </is>
      </c>
      <c r="H351">
        <f>HYPERLINK("https://app.apollo.io/#/accounts/6578bf02ccf69c02cc54f0ad")</f>
        <v/>
      </c>
      <c r="I351">
        <f>HYPERLINK("http://www.vailwilliams.com/")</f>
        <v/>
      </c>
      <c r="J351">
        <f>HYPERLINK("http://www.linkedin.com/company/vail-williams")</f>
        <v/>
      </c>
      <c r="K351">
        <f>HYPERLINK("https://twitter.com/vailwilliams")</f>
        <v/>
      </c>
      <c r="L351">
        <f>HYPERLINK("https://www.facebook.com/vailwilliams")</f>
        <v/>
      </c>
      <c r="M351" t="inlineStr">
        <is>
          <t>Woking, United Kingdom</t>
        </is>
      </c>
      <c r="N351" t="inlineStr">
        <is>
          <t>200</t>
        </is>
      </c>
      <c r="O351" t="inlineStr">
        <is>
          <t>Commercial Real Estate</t>
        </is>
      </c>
      <c r="P351" t="inlineStr">
        <is>
          <t>real estate,real estate agents</t>
        </is>
      </c>
      <c r="Q351" t="inlineStr">
        <is>
          <t>+442035890080</t>
        </is>
      </c>
    </row>
    <row r="352">
      <c r="A352" t="inlineStr">
        <is>
          <t>54a226d774686930c2303411</t>
        </is>
      </c>
      <c r="B352" t="inlineStr">
        <is>
          <t>David Ramsay</t>
        </is>
      </c>
      <c r="C352">
        <f>HYPERLINK("http://www.linkedin.com/in/davidaramsay")</f>
        <v/>
      </c>
      <c r="D352" t="inlineStr">
        <is>
          <t>dramsay@vailwilliams.com</t>
        </is>
      </c>
      <c r="E352" t="inlineStr">
        <is>
          <t>Partner &amp; Head of Planning</t>
        </is>
      </c>
      <c r="F352">
        <f>HYPERLINK("https://app.apollo.io/#/people/54a226d774686930c2303411")</f>
        <v/>
      </c>
      <c r="G352" t="inlineStr">
        <is>
          <t>Vail Williams</t>
        </is>
      </c>
      <c r="H352">
        <f>HYPERLINK("https://app.apollo.io/#/accounts/6578bf02ccf69c02cc54f0ad")</f>
        <v/>
      </c>
      <c r="I352">
        <f>HYPERLINK("http://www.vailwilliams.com/")</f>
        <v/>
      </c>
      <c r="J352">
        <f>HYPERLINK("http://www.linkedin.com/company/vail-williams")</f>
        <v/>
      </c>
      <c r="K352">
        <f>HYPERLINK("https://twitter.com/vailwilliams")</f>
        <v/>
      </c>
      <c r="L352">
        <f>HYPERLINK("https://www.facebook.com/vailwilliams")</f>
        <v/>
      </c>
      <c r="M352" t="inlineStr">
        <is>
          <t>Southampton, United Kingdom</t>
        </is>
      </c>
      <c r="N352" t="inlineStr">
        <is>
          <t>200</t>
        </is>
      </c>
      <c r="O352" t="inlineStr">
        <is>
          <t>Commercial Real Estate</t>
        </is>
      </c>
      <c r="P352" t="inlineStr">
        <is>
          <t>real estate,real estate agents</t>
        </is>
      </c>
      <c r="Q352" t="inlineStr">
        <is>
          <t>+442035890080</t>
        </is>
      </c>
    </row>
    <row r="353">
      <c r="A353" t="inlineStr">
        <is>
          <t>54a94f217468692d1c5b9810</t>
        </is>
      </c>
      <c r="B353" t="inlineStr">
        <is>
          <t>Damian Sumner</t>
        </is>
      </c>
      <c r="C353">
        <f>HYPERLINK("http://www.linkedin.com/in/damian-sumner-b152ba14")</f>
        <v/>
      </c>
      <c r="D353" t="inlineStr">
        <is>
          <t>damian.sumner@brasierfreeth.com</t>
        </is>
      </c>
      <c r="E353" t="inlineStr">
        <is>
          <t>Partner - Retail Agency</t>
        </is>
      </c>
      <c r="F353">
        <f>HYPERLINK("https://app.apollo.io/#/people/54a94f217468692d1c5b9810")</f>
        <v/>
      </c>
      <c r="G353" t="inlineStr">
        <is>
          <t>Brasier Freeth</t>
        </is>
      </c>
      <c r="H353">
        <f>HYPERLINK("https://app.apollo.io/#/accounts/6578bf3accf69c02cc54f192")</f>
        <v/>
      </c>
      <c r="I353">
        <f>HYPERLINK("http://www.brasierfreeth.com/")</f>
        <v/>
      </c>
      <c r="J353">
        <f>HYPERLINK("http://www.linkedin.com/company/brasier-freeth-llp")</f>
        <v/>
      </c>
      <c r="K353">
        <f>HYPERLINK("https://twitter.com/brasierfreeth")</f>
        <v/>
      </c>
      <c r="L353">
        <f>HYPERLINK("Not Found")</f>
        <v/>
      </c>
      <c r="M353" t="inlineStr">
        <is>
          <t>London, United Kingdom</t>
        </is>
      </c>
      <c r="N353" t="inlineStr">
        <is>
          <t>37</t>
        </is>
      </c>
      <c r="O353" t="inlineStr">
        <is>
          <t>Commercial Real Estate</t>
        </is>
      </c>
      <c r="P353" t="inlineStr">
        <is>
          <t>commercial property acquisitions,disposals</t>
        </is>
      </c>
      <c r="Q353" t="inlineStr">
        <is>
          <t>+441442263033</t>
        </is>
      </c>
    </row>
    <row r="354">
      <c r="A354" t="inlineStr">
        <is>
          <t>6578bea3ccf69c02cc54eef7</t>
        </is>
      </c>
      <c r="B354" t="inlineStr">
        <is>
          <t>Alex Hinchliffe</t>
        </is>
      </c>
      <c r="C354">
        <f>HYPERLINK("http://www.linkedin.com/in/alex-hinchliffe-a1753a13")</f>
        <v/>
      </c>
      <c r="D354" t="inlineStr">
        <is>
          <t>alex.hinchliffe@cbre.com</t>
        </is>
      </c>
      <c r="E354" t="inlineStr">
        <is>
          <t>CFO Data Centre Solutions</t>
        </is>
      </c>
      <c r="F354">
        <f>HYPERLINK("https://app.apollo.io/#/contacts/6578bea3ccf69c02cc54eef7")</f>
        <v/>
      </c>
      <c r="G354" t="inlineStr">
        <is>
          <t>CBRE Global Workplace Solutions (GWS)</t>
        </is>
      </c>
      <c r="H354">
        <f>HYPERLINK("https://app.apollo.io/#/accounts/6509fed6f449800001b69a15")</f>
        <v/>
      </c>
      <c r="I354">
        <f>HYPERLINK("http://www.coor.com/")</f>
        <v/>
      </c>
      <c r="J354">
        <f>HYPERLINK("http://www.linkedin.com/company/cbre-gws")</f>
        <v/>
      </c>
      <c r="K354">
        <f>HYPERLINK("Not Found")</f>
        <v/>
      </c>
      <c r="L354">
        <f>HYPERLINK("Not Found")</f>
        <v/>
      </c>
      <c r="M354" t="inlineStr">
        <is>
          <t>London, United Kingdom</t>
        </is>
      </c>
      <c r="N354" t="inlineStr">
        <is>
          <t>15,000</t>
        </is>
      </c>
      <c r="O354" t="inlineStr">
        <is>
          <t>Commercial Real Estate</t>
        </is>
      </c>
      <c r="P354" t="inlineStr">
        <is>
          <t>project management,advisory,transaction services</t>
        </is>
      </c>
      <c r="Q354" t="inlineStr">
        <is>
          <t>+447949532802</t>
        </is>
      </c>
    </row>
    <row r="355">
      <c r="A355" t="inlineStr">
        <is>
          <t>63c4e2584dc06800017003e3</t>
        </is>
      </c>
      <c r="B355" t="inlineStr">
        <is>
          <t>Rhianna Crawford</t>
        </is>
      </c>
      <c r="C355">
        <f>HYPERLINK("http://www.linkedin.com/in/rhiannacrawford")</f>
        <v/>
      </c>
      <c r="D355" t="inlineStr">
        <is>
          <t>rcrawford1@costar.co.uk</t>
        </is>
      </c>
      <c r="E355" t="inlineStr">
        <is>
          <t>HR Business Partner</t>
        </is>
      </c>
      <c r="F355">
        <f>HYPERLINK("https://app.apollo.io/#/people/63c4e2584dc06800017003e3")</f>
        <v/>
      </c>
      <c r="G355" t="inlineStr">
        <is>
          <t>CoStar Group</t>
        </is>
      </c>
      <c r="H355">
        <f>HYPERLINK("https://app.apollo.io/#/accounts/6578be77ccf69c01ae54f373")</f>
        <v/>
      </c>
      <c r="I355">
        <f>HYPERLINK("http://www.costargroup.com/")</f>
        <v/>
      </c>
      <c r="J355">
        <f>HYPERLINK("http://www.linkedin.com/company/costar-group")</f>
        <v/>
      </c>
      <c r="K355">
        <f>HYPERLINK("http://twitter.com/TheCoStarGroup")</f>
        <v/>
      </c>
      <c r="L355">
        <f>HYPERLINK("http://www.facebook.com/CoStarGroup")</f>
        <v/>
      </c>
      <c r="M355" t="inlineStr">
        <is>
          <t>London, United Kingdom</t>
        </is>
      </c>
      <c r="N355" t="inlineStr">
        <is>
          <t>6,300</t>
        </is>
      </c>
      <c r="O355" t="inlineStr">
        <is>
          <t>Commercial Real Estate</t>
        </is>
      </c>
      <c r="P355" t="inlineStr">
        <is>
          <t>information technology,research,marketing</t>
        </is>
      </c>
      <c r="Q355" t="inlineStr">
        <is>
          <t>(202)-346-6500</t>
        </is>
      </c>
    </row>
    <row r="356">
      <c r="A356" t="inlineStr">
        <is>
          <t>5ef0fed23d0629000134757b</t>
        </is>
      </c>
      <c r="B356" t="inlineStr">
        <is>
          <t>Jordan McFarlane</t>
        </is>
      </c>
      <c r="C356">
        <f>HYPERLINK("http://www.linkedin.com/in/jordanwmcfarlane")</f>
        <v/>
      </c>
      <c r="D356" t="inlineStr">
        <is>
          <t>jordan.mcfarlane@landsec.com</t>
        </is>
      </c>
      <c r="E356" t="inlineStr">
        <is>
          <t>Senior Technical Support Partner</t>
        </is>
      </c>
      <c r="F356">
        <f>HYPERLINK("https://app.apollo.io/#/people/5ef0fed23d0629000134757b")</f>
        <v/>
      </c>
      <c r="G356" t="inlineStr">
        <is>
          <t>Landsec</t>
        </is>
      </c>
      <c r="H356">
        <f>HYPERLINK("https://app.apollo.io/#/accounts/6578b86a75dc3a02ccc995c8")</f>
        <v/>
      </c>
      <c r="I356">
        <f>HYPERLINK("http://www.landsec.com/")</f>
        <v/>
      </c>
      <c r="J356">
        <f>HYPERLINK("http://www.linkedin.com/company/landsec")</f>
        <v/>
      </c>
      <c r="K356">
        <f>HYPERLINK("https://twitter.com/landsecgroup?lang=en")</f>
        <v/>
      </c>
      <c r="L356">
        <f>HYPERLINK("https://facebook.com/pages/category/Real-Estate-Company/Landsec-Group-335042077050643/")</f>
        <v/>
      </c>
      <c r="M356" t="inlineStr">
        <is>
          <t>Telford, United Kingdom</t>
        </is>
      </c>
      <c r="N356" t="inlineStr">
        <is>
          <t>860</t>
        </is>
      </c>
      <c r="O356" t="inlineStr">
        <is>
          <t>Commercial Real Estate</t>
        </is>
      </c>
      <c r="P356" t="inlineStr">
        <is>
          <t>property investment,management &amp; development</t>
        </is>
      </c>
      <c r="Q356" t="inlineStr">
        <is>
          <t>+442074139000</t>
        </is>
      </c>
    </row>
    <row r="357">
      <c r="A357" t="inlineStr">
        <is>
          <t>6578bf24ccf69c01ae54f9f5</t>
        </is>
      </c>
      <c r="B357" t="inlineStr">
        <is>
          <t>Joe Assalone</t>
        </is>
      </c>
      <c r="C357">
        <f>HYPERLINK("http://www.linkedin.com/in/joe-assalone-a7825215")</f>
        <v/>
      </c>
      <c r="D357" t="inlineStr">
        <is>
          <t>Not Found</t>
        </is>
      </c>
      <c r="E357" t="inlineStr">
        <is>
          <t>Partner</t>
        </is>
      </c>
      <c r="F357">
        <f>HYPERLINK("https://app.apollo.io/#/contacts/6578bf24ccf69c01ae54f9f5")</f>
        <v/>
      </c>
      <c r="G357" t="inlineStr">
        <is>
          <t>Robert Pinkus &amp; Co</t>
        </is>
      </c>
      <c r="H357">
        <f>HYPERLINK("https://app.apollo.io/#/accounts/6578bf24ccf69c01ae54f9f7")</f>
        <v/>
      </c>
      <c r="I357">
        <f>HYPERLINK("http://www.pinkus.co.uk/")</f>
        <v/>
      </c>
      <c r="J357">
        <f>HYPERLINK("http://www.linkedin.com/company/robert-pinkus-management-services-ltd")</f>
        <v/>
      </c>
      <c r="K357">
        <f>HYPERLINK("https://twitter.com/robertpinkus")</f>
        <v/>
      </c>
      <c r="L357">
        <f>HYPERLINK("https://www.facebook.com/robert.pinkus.37")</f>
        <v/>
      </c>
      <c r="M357" t="inlineStr">
        <is>
          <t>Preston, United Kingdom</t>
        </is>
      </c>
      <c r="N357" t="inlineStr">
        <is>
          <t>4</t>
        </is>
      </c>
      <c r="O357" t="inlineStr">
        <is>
          <t>Commercial Real Estate</t>
        </is>
      </c>
      <c r="Q357" t="inlineStr">
        <is>
          <t>+441772769000</t>
        </is>
      </c>
    </row>
    <row r="358">
      <c r="A358" t="inlineStr">
        <is>
          <t>6578bf8fbeafb901ae2d4561</t>
        </is>
      </c>
      <c r="B358" t="inlineStr">
        <is>
          <t>Mike Burden</t>
        </is>
      </c>
      <c r="C358">
        <f>HYPERLINK("http://www.linkedin.com/in/mburden")</f>
        <v/>
      </c>
      <c r="D358" t="inlineStr">
        <is>
          <t>mike.burden@kimmre.com</t>
        </is>
      </c>
      <c r="E358" t="inlineStr">
        <is>
          <t>Partner</t>
        </is>
      </c>
      <c r="F358">
        <f>HYPERLINK("https://app.apollo.io/#/contacts/6578bf8fbeafb901ae2d4561")</f>
        <v/>
      </c>
      <c r="G358" t="inlineStr">
        <is>
          <t>Kimmre</t>
        </is>
      </c>
      <c r="H358">
        <f>HYPERLINK("https://app.apollo.io/#/accounts/6578bee9ccf69c02cc54f06c")</f>
        <v/>
      </c>
      <c r="I358">
        <f>HYPERLINK("http://www.kimmre.com/")</f>
        <v/>
      </c>
      <c r="J358">
        <f>HYPERLINK("http://www.linkedin.com/company/kimmre")</f>
        <v/>
      </c>
      <c r="K358">
        <f>HYPERLINK("Not Found")</f>
        <v/>
      </c>
      <c r="L358">
        <f>HYPERLINK("Not Found")</f>
        <v/>
      </c>
      <c r="M358" t="inlineStr">
        <is>
          <t>London, United Kingdom</t>
        </is>
      </c>
      <c r="N358" t="inlineStr">
        <is>
          <t>18</t>
        </is>
      </c>
      <c r="O358" t="inlineStr">
        <is>
          <t>Commercial Real Estate</t>
        </is>
      </c>
      <c r="P358" t="inlineStr">
        <is>
          <t>commercial real estate,investment,development</t>
        </is>
      </c>
      <c r="Q358" t="inlineStr">
        <is>
          <t>+447815305180</t>
        </is>
      </c>
    </row>
    <row r="359">
      <c r="A359" t="inlineStr">
        <is>
          <t>6578bfacbeafb901ae2d4620</t>
        </is>
      </c>
      <c r="B359" t="inlineStr">
        <is>
          <t>Roger Holmes</t>
        </is>
      </c>
      <c r="C359">
        <f>HYPERLINK("http://www.linkedin.com/in/roger-holmes-mrics")</f>
        <v/>
      </c>
      <c r="D359" t="inlineStr">
        <is>
          <t>Not Found</t>
        </is>
      </c>
      <c r="E359" t="inlineStr">
        <is>
          <t>Partner</t>
        </is>
      </c>
      <c r="F359">
        <f>HYPERLINK("https://app.apollo.io/#/contacts/6578bfacbeafb901ae2d4620")</f>
        <v/>
      </c>
      <c r="G359" t="inlineStr">
        <is>
          <t>XIX</t>
        </is>
      </c>
      <c r="H359">
        <f>HYPERLINK("https://app.apollo.io/#/accounts/6578bfacbeafb901ae2d4622")</f>
        <v/>
      </c>
      <c r="I359">
        <f>HYPERLINK("http://www.xix.co.uk/")</f>
        <v/>
      </c>
      <c r="J359">
        <f>HYPERLINK("http://www.linkedin.com/company/xixlondon")</f>
        <v/>
      </c>
      <c r="K359">
        <f>HYPERLINK("https://twitter.com/xixlondon")</f>
        <v/>
      </c>
      <c r="L359">
        <f>HYPERLINK("Not Found")</f>
        <v/>
      </c>
      <c r="M359" t="inlineStr">
        <is>
          <t>London, United Kingdom</t>
        </is>
      </c>
      <c r="N359" t="inlineStr">
        <is>
          <t>7</t>
        </is>
      </c>
      <c r="O359" t="inlineStr">
        <is>
          <t>Commercial Real Estate</t>
        </is>
      </c>
      <c r="P359" t="inlineStr">
        <is>
          <t>office search,commercial office agent</t>
        </is>
      </c>
      <c r="Q359" t="inlineStr">
        <is>
          <t>+447525480776</t>
        </is>
      </c>
    </row>
    <row r="360">
      <c r="A360" t="inlineStr">
        <is>
          <t>6578bf87beafb902cc2d38c6</t>
        </is>
      </c>
      <c r="B360" t="inlineStr">
        <is>
          <t>Josh Beebee</t>
        </is>
      </c>
      <c r="C360">
        <f>HYPERLINK("http://www.linkedin.com/in/josh-beebee-58723325")</f>
        <v/>
      </c>
      <c r="D360" t="inlineStr">
        <is>
          <t>josh.beebee@kimmre.com</t>
        </is>
      </c>
      <c r="E360" t="inlineStr">
        <is>
          <t>Partner</t>
        </is>
      </c>
      <c r="F360">
        <f>HYPERLINK("https://app.apollo.io/#/contacts/6578bf87beafb902cc2d38c6")</f>
        <v/>
      </c>
      <c r="G360" t="inlineStr">
        <is>
          <t>Kimmre</t>
        </is>
      </c>
      <c r="H360">
        <f>HYPERLINK("https://app.apollo.io/#/accounts/6578bee9ccf69c02cc54f06c")</f>
        <v/>
      </c>
      <c r="I360">
        <f>HYPERLINK("http://www.kimmre.com/")</f>
        <v/>
      </c>
      <c r="J360">
        <f>HYPERLINK("http://www.linkedin.com/company/kimmre")</f>
        <v/>
      </c>
      <c r="K360">
        <f>HYPERLINK("Not Found")</f>
        <v/>
      </c>
      <c r="L360">
        <f>HYPERLINK("Not Found")</f>
        <v/>
      </c>
      <c r="M360" t="inlineStr">
        <is>
          <t>London, United Kingdom</t>
        </is>
      </c>
      <c r="N360" t="inlineStr">
        <is>
          <t>18</t>
        </is>
      </c>
      <c r="O360" t="inlineStr">
        <is>
          <t>Commercial Real Estate</t>
        </is>
      </c>
      <c r="P360" t="inlineStr">
        <is>
          <t>commercial real estate,investment,development</t>
        </is>
      </c>
      <c r="Q360" t="inlineStr">
        <is>
          <t>+442079526100</t>
        </is>
      </c>
    </row>
    <row r="361">
      <c r="A361" t="inlineStr">
        <is>
          <t>6578bfa4beafb903eb2d3288</t>
        </is>
      </c>
      <c r="B361" t="inlineStr">
        <is>
          <t>Dale Henry</t>
        </is>
      </c>
      <c r="C361">
        <f>HYPERLINK("http://www.linkedin.com/in/dale-henry-b52a7027")</f>
        <v/>
      </c>
      <c r="D361" t="inlineStr">
        <is>
          <t>Not Found</t>
        </is>
      </c>
      <c r="E361" t="inlineStr">
        <is>
          <t>Partner</t>
        </is>
      </c>
      <c r="F361">
        <f>HYPERLINK("https://app.apollo.io/#/contacts/6578bfa4beafb903eb2d3288")</f>
        <v/>
      </c>
      <c r="G361" t="inlineStr">
        <is>
          <t>Singer Vielle</t>
        </is>
      </c>
      <c r="H361">
        <f>HYPERLINK("https://app.apollo.io/#/accounts/6578bfa4beafb903eb2d328a")</f>
        <v/>
      </c>
      <c r="I361">
        <f>HYPERLINK("http://www.singervielle.com/")</f>
        <v/>
      </c>
      <c r="J361">
        <f>HYPERLINK("http://www.linkedin.com/company/singer-vielle")</f>
        <v/>
      </c>
      <c r="K361">
        <f>HYPERLINK("https://twitter.com/SingerVielle")</f>
        <v/>
      </c>
      <c r="L361">
        <f>HYPERLINK("https://facebook.com/SingerVielle")</f>
        <v/>
      </c>
      <c r="M361" t="inlineStr">
        <is>
          <t>London, United Kingdom</t>
        </is>
      </c>
      <c r="N361" t="inlineStr">
        <is>
          <t>10</t>
        </is>
      </c>
      <c r="O361" t="inlineStr">
        <is>
          <t>Commercial Real Estate</t>
        </is>
      </c>
      <c r="P361" t="inlineStr">
        <is>
          <t>investment,sales,acquisitions,marketing</t>
        </is>
      </c>
      <c r="Q361" t="inlineStr">
        <is>
          <t>+447900584233</t>
        </is>
      </c>
    </row>
    <row r="362">
      <c r="A362" t="inlineStr">
        <is>
          <t>6578bf64ccf69c02cc54f25b</t>
        </is>
      </c>
      <c r="B362" t="inlineStr">
        <is>
          <t>Matthew Beech</t>
        </is>
      </c>
      <c r="C362">
        <f>HYPERLINK("http://www.linkedin.com/in/matthew-beech-24b56334")</f>
        <v/>
      </c>
      <c r="D362" t="inlineStr">
        <is>
          <t>mbeech@vailwilliams.com</t>
        </is>
      </c>
      <c r="E362" t="inlineStr">
        <is>
          <t>Partner</t>
        </is>
      </c>
      <c r="F362">
        <f>HYPERLINK("https://app.apollo.io/#/contacts/6578bf64ccf69c02cc54f25b")</f>
        <v/>
      </c>
      <c r="G362" t="inlineStr">
        <is>
          <t>Vail Williams</t>
        </is>
      </c>
      <c r="H362">
        <f>HYPERLINK("https://app.apollo.io/#/accounts/6578bf02ccf69c02cc54f0ad")</f>
        <v/>
      </c>
      <c r="I362">
        <f>HYPERLINK("http://www.vailwilliams.com/")</f>
        <v/>
      </c>
      <c r="J362">
        <f>HYPERLINK("http://www.linkedin.com/company/vail-williams")</f>
        <v/>
      </c>
      <c r="K362">
        <f>HYPERLINK("https://twitter.com/vailwilliams")</f>
        <v/>
      </c>
      <c r="L362">
        <f>HYPERLINK("https://www.facebook.com/vailwilliams")</f>
        <v/>
      </c>
      <c r="M362" t="inlineStr">
        <is>
          <t>Reading, United Kingdom</t>
        </is>
      </c>
      <c r="N362" t="inlineStr">
        <is>
          <t>200</t>
        </is>
      </c>
      <c r="O362" t="inlineStr">
        <is>
          <t>Commercial Real Estate</t>
        </is>
      </c>
      <c r="P362" t="inlineStr">
        <is>
          <t>real estate,real estate agents</t>
        </is>
      </c>
      <c r="Q362" t="inlineStr">
        <is>
          <t>+442035890080</t>
        </is>
      </c>
    </row>
    <row r="363">
      <c r="A363" t="inlineStr">
        <is>
          <t>6578bfd6bd906602ccfd8515</t>
        </is>
      </c>
      <c r="B363" t="inlineStr">
        <is>
          <t>David Feeney</t>
        </is>
      </c>
      <c r="C363">
        <f>HYPERLINK("http://www.linkedin.com/in/david-feeney-14652541")</f>
        <v/>
      </c>
      <c r="D363" t="inlineStr">
        <is>
          <t>Not Found</t>
        </is>
      </c>
      <c r="E363" t="inlineStr">
        <is>
          <t>Partner</t>
        </is>
      </c>
      <c r="F363">
        <f>HYPERLINK("https://app.apollo.io/#/contacts/6578bfd6bd906602ccfd8515")</f>
        <v/>
      </c>
      <c r="G363" t="inlineStr">
        <is>
          <t>Cushman &amp; Wakefield - Formerly DTZ</t>
        </is>
      </c>
      <c r="H363">
        <f>HYPERLINK("https://app.apollo.io/#/accounts/6578bef1ccf69c01ae54f888")</f>
        <v/>
      </c>
      <c r="I363">
        <f>HYPERLINK("http://www.cushwake-ni.com/")</f>
        <v/>
      </c>
      <c r="J363">
        <f>HYPERLINK("http://www.linkedin.com/company/dtz")</f>
        <v/>
      </c>
      <c r="K363">
        <f>HYPERLINK("Not Found")</f>
        <v/>
      </c>
      <c r="L363">
        <f>HYPERLINK("Not Found")</f>
        <v/>
      </c>
      <c r="M363" t="inlineStr">
        <is>
          <t>Manchester, United Kingdom</t>
        </is>
      </c>
      <c r="N363" t="inlineStr">
        <is>
          <t>3,800</t>
        </is>
      </c>
      <c r="O363" t="inlineStr">
        <is>
          <t>Commercial Real Estate</t>
        </is>
      </c>
      <c r="P363" t="inlineStr">
        <is>
          <t>agency leasing,capital markets,consulting</t>
        </is>
      </c>
      <c r="Q363" t="inlineStr">
        <is>
          <t>(212)-841-7500</t>
        </is>
      </c>
    </row>
    <row r="364">
      <c r="A364" t="inlineStr">
        <is>
          <t>6578bfcdbd906601aefd913f</t>
        </is>
      </c>
      <c r="B364" t="inlineStr">
        <is>
          <t>Simon Tann</t>
        </is>
      </c>
      <c r="C364">
        <f>HYPERLINK("http://www.linkedin.com/in/simon-tann-89435338")</f>
        <v/>
      </c>
      <c r="D364" t="inlineStr">
        <is>
          <t>simon.tann@levyrealestate.co.uk</t>
        </is>
      </c>
      <c r="E364" t="inlineStr">
        <is>
          <t>Partner</t>
        </is>
      </c>
      <c r="F364">
        <f>HYPERLINK("https://app.apollo.io/#/contacts/6578bfcdbd906601aefd913f")</f>
        <v/>
      </c>
      <c r="G364" t="inlineStr">
        <is>
          <t>Levy Real Estate</t>
        </is>
      </c>
      <c r="H364">
        <f>HYPERLINK("https://app.apollo.io/#/accounts/6578bf7ebeafb901ae2d44bf")</f>
        <v/>
      </c>
      <c r="I364">
        <f>HYPERLINK("http://www.levyrealestate.co.uk/")</f>
        <v/>
      </c>
      <c r="J364">
        <f>HYPERLINK("http://www.linkedin.com/company/levyrealestate")</f>
        <v/>
      </c>
      <c r="K364">
        <f>HYPERLINK("Not Found")</f>
        <v/>
      </c>
      <c r="L364">
        <f>HYPERLINK("Not Found")</f>
        <v/>
      </c>
      <c r="M364" t="inlineStr">
        <is>
          <t>London, United Kingdom</t>
        </is>
      </c>
      <c r="N364" t="inlineStr">
        <is>
          <t>50</t>
        </is>
      </c>
      <c r="O364" t="inlineStr">
        <is>
          <t>Commercial Real Estate</t>
        </is>
      </c>
      <c r="Q364" t="inlineStr">
        <is>
          <t>+442077470141</t>
        </is>
      </c>
    </row>
    <row r="365">
      <c r="A365" t="inlineStr">
        <is>
          <t>6578c0221823b201ae2f2176</t>
        </is>
      </c>
      <c r="B365" t="inlineStr">
        <is>
          <t>Richard Robson</t>
        </is>
      </c>
      <c r="C365">
        <f>HYPERLINK("http://www.linkedin.com/in/richard-robson-8386b82b")</f>
        <v/>
      </c>
      <c r="D365" t="inlineStr">
        <is>
          <t>Not Found</t>
        </is>
      </c>
      <c r="E365" t="inlineStr">
        <is>
          <t>Partner</t>
        </is>
      </c>
      <c r="F365">
        <f>HYPERLINK("https://app.apollo.io/#/contacts/6578c0221823b201ae2f2176")</f>
        <v/>
      </c>
      <c r="G365" t="inlineStr">
        <is>
          <t>Michael Rogers</t>
        </is>
      </c>
      <c r="H365">
        <f>HYPERLINK("https://app.apollo.io/#/accounts/6578c0221823b201ae2f2178")</f>
        <v/>
      </c>
      <c r="I365">
        <f>HYPERLINK("http://www.michaelrogers.co.uk/")</f>
        <v/>
      </c>
      <c r="J365">
        <f>HYPERLINK("http://www.linkedin.com/company/michael-rogers")</f>
        <v/>
      </c>
      <c r="K365">
        <f>HYPERLINK("Not Found")</f>
        <v/>
      </c>
      <c r="L365">
        <f>HYPERLINK("https://www.facebook.com/MichaelRogersLLP")</f>
        <v/>
      </c>
      <c r="M365" t="inlineStr">
        <is>
          <t>Tonbridge, United Kingdom</t>
        </is>
      </c>
      <c r="N365" t="inlineStr">
        <is>
          <t>10</t>
        </is>
      </c>
      <c r="O365" t="inlineStr">
        <is>
          <t>Commercial Real Estate</t>
        </is>
      </c>
      <c r="P365" t="inlineStr">
        <is>
          <t>valuations,compulsory purchase,investment development</t>
        </is>
      </c>
      <c r="Q365" t="inlineStr">
        <is>
          <t>+441737230700</t>
        </is>
      </c>
    </row>
    <row r="366">
      <c r="A366" t="inlineStr">
        <is>
          <t>6578bed0ccf69c03ea54ebc6</t>
        </is>
      </c>
      <c r="B366" t="inlineStr">
        <is>
          <t>Mark Wilson</t>
        </is>
      </c>
      <c r="C366">
        <f>HYPERLINK("http://www.linkedin.com/in/mark-wilson-b7155319")</f>
        <v/>
      </c>
      <c r="D366" t="inlineStr">
        <is>
          <t>mark.wilson@acrellp.com</t>
        </is>
      </c>
      <c r="E366" t="inlineStr">
        <is>
          <t>Partner</t>
        </is>
      </c>
      <c r="F366">
        <f>HYPERLINK("https://app.apollo.io/#/contacts/6578bed0ccf69c03ea54ebc6")</f>
        <v/>
      </c>
      <c r="G366" t="inlineStr">
        <is>
          <t>ACRE Capital Real Estate LLP</t>
        </is>
      </c>
      <c r="H366">
        <f>HYPERLINK("https://app.apollo.io/#/accounts/6578bed0ccf69c03ea54ebc8")</f>
        <v/>
      </c>
      <c r="I366">
        <f>HYPERLINK("http://www.acrellp.com/")</f>
        <v/>
      </c>
      <c r="J366">
        <f>HYPERLINK("http://www.linkedin.com/company/acre-capital-real-estate-llp")</f>
        <v/>
      </c>
      <c r="K366">
        <f>HYPERLINK("Not Found")</f>
        <v/>
      </c>
      <c r="L366">
        <f>HYPERLINK("Not Found")</f>
        <v/>
      </c>
      <c r="M366" t="inlineStr">
        <is>
          <t>London, United Kingdom</t>
        </is>
      </c>
      <c r="N366" t="inlineStr">
        <is>
          <t>20</t>
        </is>
      </c>
      <c r="O366" t="inlineStr">
        <is>
          <t>Commercial Real Estate</t>
        </is>
      </c>
      <c r="P366" t="inlineStr">
        <is>
          <t>commercial real estate,business space investment</t>
        </is>
      </c>
      <c r="Q366" t="inlineStr">
        <is>
          <t>+442039034369</t>
        </is>
      </c>
    </row>
    <row r="367">
      <c r="A367" t="inlineStr">
        <is>
          <t>6578bf54ccf69c02cc54f22c</t>
        </is>
      </c>
      <c r="B367" t="inlineStr">
        <is>
          <t>Mike Needham</t>
        </is>
      </c>
      <c r="C367">
        <f>HYPERLINK("http://www.linkedin.com/in/mike-needham-0b8b8618")</f>
        <v/>
      </c>
      <c r="D367" t="inlineStr">
        <is>
          <t>mike.needham@kimmre.com</t>
        </is>
      </c>
      <c r="E367" t="inlineStr">
        <is>
          <t>Partner</t>
        </is>
      </c>
      <c r="F367">
        <f>HYPERLINK("https://app.apollo.io/#/contacts/6578bf54ccf69c02cc54f22c")</f>
        <v/>
      </c>
      <c r="G367" t="inlineStr">
        <is>
          <t>Kimmre</t>
        </is>
      </c>
      <c r="H367">
        <f>HYPERLINK("https://app.apollo.io/#/accounts/6578bee9ccf69c02cc54f06c")</f>
        <v/>
      </c>
      <c r="I367">
        <f>HYPERLINK("http://www.kimmre.com/")</f>
        <v/>
      </c>
      <c r="J367">
        <f>HYPERLINK("http://www.linkedin.com/company/kimmre")</f>
        <v/>
      </c>
      <c r="K367">
        <f>HYPERLINK("Not Found")</f>
        <v/>
      </c>
      <c r="L367">
        <f>HYPERLINK("Not Found")</f>
        <v/>
      </c>
      <c r="M367" t="inlineStr">
        <is>
          <t>West End, United Kingdom</t>
        </is>
      </c>
      <c r="N367" t="inlineStr">
        <is>
          <t>18</t>
        </is>
      </c>
      <c r="O367" t="inlineStr">
        <is>
          <t>Commercial Real Estate</t>
        </is>
      </c>
      <c r="P367" t="inlineStr">
        <is>
          <t>commercial real estate,investment,development</t>
        </is>
      </c>
      <c r="Q367" t="inlineStr">
        <is>
          <t>+447903136242</t>
        </is>
      </c>
    </row>
    <row r="368">
      <c r="A368" t="inlineStr">
        <is>
          <t>6578befaccf69c01ae54f8be</t>
        </is>
      </c>
      <c r="B368" t="inlineStr">
        <is>
          <t>Max Clynes</t>
        </is>
      </c>
      <c r="C368">
        <f>HYPERLINK("http://www.linkedin.com/in/max-clynes-76239954")</f>
        <v/>
      </c>
      <c r="D368" t="inlineStr">
        <is>
          <t>max.clynes@kimmre.com</t>
        </is>
      </c>
      <c r="E368" t="inlineStr">
        <is>
          <t>Partner</t>
        </is>
      </c>
      <c r="F368">
        <f>HYPERLINK("https://app.apollo.io/#/contacts/6578befaccf69c01ae54f8be")</f>
        <v/>
      </c>
      <c r="G368" t="inlineStr">
        <is>
          <t>Kimmre</t>
        </is>
      </c>
      <c r="H368">
        <f>HYPERLINK("https://app.apollo.io/#/accounts/6578bee9ccf69c02cc54f06c")</f>
        <v/>
      </c>
      <c r="I368">
        <f>HYPERLINK("http://www.kimmre.com/")</f>
        <v/>
      </c>
      <c r="J368">
        <f>HYPERLINK("http://www.linkedin.com/company/kimmre")</f>
        <v/>
      </c>
      <c r="K368">
        <f>HYPERLINK("Not Found")</f>
        <v/>
      </c>
      <c r="L368">
        <f>HYPERLINK("Not Found")</f>
        <v/>
      </c>
      <c r="M368" t="inlineStr">
        <is>
          <t>Leeds, United Kingdom</t>
        </is>
      </c>
      <c r="N368" t="inlineStr">
        <is>
          <t>18</t>
        </is>
      </c>
      <c r="O368" t="inlineStr">
        <is>
          <t>Commercial Real Estate</t>
        </is>
      </c>
      <c r="P368" t="inlineStr">
        <is>
          <t>commercial real estate,investment,development</t>
        </is>
      </c>
      <c r="Q368" t="inlineStr">
        <is>
          <t>+442079526100</t>
        </is>
      </c>
    </row>
    <row r="369">
      <c r="A369" t="inlineStr">
        <is>
          <t>6578bf0bccf69c02cc54f0dc</t>
        </is>
      </c>
      <c r="B369" t="inlineStr">
        <is>
          <t>Suzanne Holloway</t>
        </is>
      </c>
      <c r="C369">
        <f>HYPERLINK("http://www.linkedin.com/in/suzanne-holloway-03a328101")</f>
        <v/>
      </c>
      <c r="D369" t="inlineStr">
        <is>
          <t>Not Found</t>
        </is>
      </c>
      <c r="E369" t="inlineStr">
        <is>
          <t>Partner</t>
        </is>
      </c>
      <c r="F369">
        <f>HYPERLINK("https://app.apollo.io/#/contacts/6578bf0bccf69c02cc54f0dc")</f>
        <v/>
      </c>
      <c r="G369" t="inlineStr">
        <is>
          <t>Vail Williams</t>
        </is>
      </c>
      <c r="H369">
        <f>HYPERLINK("https://app.apollo.io/#/accounts/6578bf02ccf69c02cc54f0ad")</f>
        <v/>
      </c>
      <c r="I369">
        <f>HYPERLINK("http://www.vailwilliams.com/")</f>
        <v/>
      </c>
      <c r="J369">
        <f>HYPERLINK("http://www.linkedin.com/company/vail-williams")</f>
        <v/>
      </c>
      <c r="K369">
        <f>HYPERLINK("https://twitter.com/vailwilliams")</f>
        <v/>
      </c>
      <c r="L369">
        <f>HYPERLINK("https://www.facebook.com/vailwilliams")</f>
        <v/>
      </c>
      <c r="M369" t="inlineStr">
        <is>
          <t>Redhill, United Kingdom</t>
        </is>
      </c>
      <c r="N369" t="inlineStr">
        <is>
          <t>200</t>
        </is>
      </c>
      <c r="O369" t="inlineStr">
        <is>
          <t>Commercial Real Estate</t>
        </is>
      </c>
      <c r="P369" t="inlineStr">
        <is>
          <t>real estate,real estate agents</t>
        </is>
      </c>
      <c r="Q369" t="inlineStr">
        <is>
          <t>+442035890080</t>
        </is>
      </c>
    </row>
    <row r="370">
      <c r="A370" t="inlineStr">
        <is>
          <t>6578bed8ccf69c01ae54f7de</t>
        </is>
      </c>
      <c r="B370" t="inlineStr">
        <is>
          <t>Niall Christian</t>
        </is>
      </c>
      <c r="C370">
        <f>HYPERLINK("http://www.linkedin.com/in/niall-christian-7a916612")</f>
        <v/>
      </c>
      <c r="D370" t="inlineStr">
        <is>
          <t>niall.christian@michaelrogers.co.uk</t>
        </is>
      </c>
      <c r="E370" t="inlineStr">
        <is>
          <t>Partner</t>
        </is>
      </c>
      <c r="F370">
        <f>HYPERLINK("https://app.apollo.io/#/contacts/6578bed8ccf69c01ae54f7de")</f>
        <v/>
      </c>
      <c r="G370" t="inlineStr">
        <is>
          <t>Michael Rogers LLP</t>
        </is>
      </c>
      <c r="H370">
        <f>HYPERLINK("https://app.apollo.io/#/accounts/6578bed8ccf69c01ae54f7e0")</f>
        <v/>
      </c>
      <c r="I370">
        <f>HYPERLINK("http://www.michaelrogers.co.uk/")</f>
        <v/>
      </c>
      <c r="J370">
        <f>HYPERLINK("http://www.linkedin.com/company/michael-rogers-llp")</f>
        <v/>
      </c>
      <c r="K370">
        <f>HYPERLINK("Not Found")</f>
        <v/>
      </c>
      <c r="L370">
        <f>HYPERLINK("https://facebook.com/pages/Michael-Rogers-LLP/212368852189933")</f>
        <v/>
      </c>
      <c r="M370" t="inlineStr">
        <is>
          <t>London, United Kingdom</t>
        </is>
      </c>
      <c r="N370" t="inlineStr">
        <is>
          <t>10</t>
        </is>
      </c>
      <c r="O370" t="inlineStr">
        <is>
          <t>Commercial Real Estate</t>
        </is>
      </c>
      <c r="P370" t="inlineStr">
        <is>
          <t>commercial real estate,sales,investment</t>
        </is>
      </c>
      <c r="Q370" t="inlineStr">
        <is>
          <t>+442083327788</t>
        </is>
      </c>
    </row>
    <row r="371">
      <c r="A371" t="inlineStr">
        <is>
          <t>6578bf76bd906601aefd8f70</t>
        </is>
      </c>
      <c r="B371" t="inlineStr">
        <is>
          <t>Stephen Hobbs</t>
        </is>
      </c>
      <c r="C371">
        <f>HYPERLINK("http://www.linkedin.com/in/stephen-hobbs-38ba8950")</f>
        <v/>
      </c>
      <c r="D371" t="inlineStr">
        <is>
          <t>shobbs@vailwilliams.com</t>
        </is>
      </c>
      <c r="E371" t="inlineStr">
        <is>
          <t>Partner</t>
        </is>
      </c>
      <c r="F371">
        <f>HYPERLINK("https://app.apollo.io/#/contacts/6578bf76bd906601aefd8f70")</f>
        <v/>
      </c>
      <c r="G371" t="inlineStr">
        <is>
          <t>Vail Williams</t>
        </is>
      </c>
      <c r="H371">
        <f>HYPERLINK("https://app.apollo.io/#/accounts/6578bf02ccf69c02cc54f0ad")</f>
        <v/>
      </c>
      <c r="I371">
        <f>HYPERLINK("http://www.vailwilliams.com/")</f>
        <v/>
      </c>
      <c r="J371">
        <f>HYPERLINK("http://www.linkedin.com/company/vail-williams")</f>
        <v/>
      </c>
      <c r="K371">
        <f>HYPERLINK("https://twitter.com/vailwilliams")</f>
        <v/>
      </c>
      <c r="L371">
        <f>HYPERLINK("https://www.facebook.com/vailwilliams")</f>
        <v/>
      </c>
      <c r="M371" t="inlineStr">
        <is>
          <t>England, United Kingdom</t>
        </is>
      </c>
      <c r="N371" t="inlineStr">
        <is>
          <t>200</t>
        </is>
      </c>
      <c r="O371" t="inlineStr">
        <is>
          <t>Commercial Real Estate</t>
        </is>
      </c>
      <c r="P371" t="inlineStr">
        <is>
          <t>real estate,real estate agents</t>
        </is>
      </c>
      <c r="Q371" t="inlineStr">
        <is>
          <t>+442035890080</t>
        </is>
      </c>
    </row>
    <row r="372">
      <c r="A372" t="inlineStr">
        <is>
          <t>6578c02e1823b202d22f13ab</t>
        </is>
      </c>
      <c r="B372" t="inlineStr">
        <is>
          <t>Lloyd Fulcher</t>
        </is>
      </c>
      <c r="C372">
        <f>HYPERLINK("http://www.linkedin.com/in/lloyd-fulcher-436b86135")</f>
        <v/>
      </c>
      <c r="D372" t="inlineStr">
        <is>
          <t>Not Found</t>
        </is>
      </c>
      <c r="E372" t="inlineStr">
        <is>
          <t>Partner</t>
        </is>
      </c>
      <c r="F372">
        <f>HYPERLINK("https://app.apollo.io/#/contacts/6578c02e1823b202d22f13ab")</f>
        <v/>
      </c>
      <c r="G372" t="inlineStr">
        <is>
          <t>Cushman &amp; Wakefield - Formerly DTZ</t>
        </is>
      </c>
      <c r="H372">
        <f>HYPERLINK("https://app.apollo.io/#/accounts/6578bef1ccf69c01ae54f888")</f>
        <v/>
      </c>
      <c r="I372">
        <f>HYPERLINK("http://www.cushwake-ni.com/")</f>
        <v/>
      </c>
      <c r="J372">
        <f>HYPERLINK("http://www.linkedin.com/company/dtz")</f>
        <v/>
      </c>
      <c r="K372">
        <f>HYPERLINK("Not Found")</f>
        <v/>
      </c>
      <c r="L372">
        <f>HYPERLINK("Not Found")</f>
        <v/>
      </c>
      <c r="M372" t="inlineStr">
        <is>
          <t>London, United Kingdom</t>
        </is>
      </c>
      <c r="N372" t="inlineStr">
        <is>
          <t>3,800</t>
        </is>
      </c>
      <c r="O372" t="inlineStr">
        <is>
          <t>Commercial Real Estate</t>
        </is>
      </c>
      <c r="P372" t="inlineStr">
        <is>
          <t>agency leasing,capital markets,consulting</t>
        </is>
      </c>
      <c r="Q372" t="inlineStr">
        <is>
          <t>(212)-841-7500</t>
        </is>
      </c>
    </row>
    <row r="373">
      <c r="A373" t="inlineStr">
        <is>
          <t>6578bff3bd906601aefd9239</t>
        </is>
      </c>
      <c r="B373" t="inlineStr">
        <is>
          <t>Laurence Roberts</t>
        </is>
      </c>
      <c r="C373">
        <f>HYPERLINK("http://www.linkedin.com/in/laurence-roberts-91b19515")</f>
        <v/>
      </c>
      <c r="D373" t="inlineStr">
        <is>
          <t>Not Found</t>
        </is>
      </c>
      <c r="E373" t="inlineStr">
        <is>
          <t>Partner</t>
        </is>
      </c>
      <c r="F373">
        <f>HYPERLINK("https://app.apollo.io/#/contacts/6578bff3bd906601aefd9239")</f>
        <v/>
      </c>
      <c r="G373" t="inlineStr">
        <is>
          <t>Vail Williams</t>
        </is>
      </c>
      <c r="H373">
        <f>HYPERLINK("https://app.apollo.io/#/accounts/6578bf02ccf69c02cc54f0ad")</f>
        <v/>
      </c>
      <c r="I373">
        <f>HYPERLINK("http://www.vailwilliams.com/")</f>
        <v/>
      </c>
      <c r="J373">
        <f>HYPERLINK("http://www.linkedin.com/company/vail-williams")</f>
        <v/>
      </c>
      <c r="K373">
        <f>HYPERLINK("https://twitter.com/vailwilliams")</f>
        <v/>
      </c>
      <c r="L373">
        <f>HYPERLINK("https://www.facebook.com/vailwilliams")</f>
        <v/>
      </c>
      <c r="M373" t="inlineStr">
        <is>
          <t>London, United Kingdom</t>
        </is>
      </c>
      <c r="N373" t="inlineStr">
        <is>
          <t>200</t>
        </is>
      </c>
      <c r="O373" t="inlineStr">
        <is>
          <t>Commercial Real Estate</t>
        </is>
      </c>
      <c r="P373" t="inlineStr">
        <is>
          <t>real estate,real estate agents</t>
        </is>
      </c>
      <c r="Q373" t="inlineStr">
        <is>
          <t>+442035890080</t>
        </is>
      </c>
    </row>
    <row r="374">
      <c r="A374" t="inlineStr">
        <is>
          <t>6578bfe2bd906602ccfd8567</t>
        </is>
      </c>
      <c r="B374" t="inlineStr">
        <is>
          <t>Andrew Baines</t>
        </is>
      </c>
      <c r="C374">
        <f>HYPERLINK("http://www.linkedin.com/in/andrew-baines-401b6116")</f>
        <v/>
      </c>
      <c r="D374" t="inlineStr">
        <is>
          <t>abaines@dohertybaines.com</t>
        </is>
      </c>
      <c r="E374" t="inlineStr">
        <is>
          <t>Partner</t>
        </is>
      </c>
      <c r="F374">
        <f>HYPERLINK("https://app.apollo.io/#/contacts/6578bfe2bd906602ccfd8567")</f>
        <v/>
      </c>
      <c r="G374" t="inlineStr">
        <is>
          <t>DohertyBaines</t>
        </is>
      </c>
      <c r="H374">
        <f>HYPERLINK("https://app.apollo.io/#/accounts/6578bfe2bd906602ccfd8569")</f>
        <v/>
      </c>
      <c r="I374">
        <f>HYPERLINK("http://www.dohertybaines.com/")</f>
        <v/>
      </c>
      <c r="J374">
        <f>HYPERLINK("http://www.linkedin.com/company/dohertybaines")</f>
        <v/>
      </c>
      <c r="K374">
        <f>HYPERLINK("https://twitter.com/dohertybaines")</f>
        <v/>
      </c>
      <c r="L374">
        <f>HYPERLINK("Not Found")</f>
        <v/>
      </c>
      <c r="M374" t="inlineStr">
        <is>
          <t>United Kingdom</t>
        </is>
      </c>
      <c r="N374" t="inlineStr">
        <is>
          <t>15</t>
        </is>
      </c>
      <c r="O374" t="inlineStr">
        <is>
          <t>Commercial Real Estate</t>
        </is>
      </c>
      <c r="P374" t="inlineStr">
        <is>
          <t>real estate advisory,industrial agency</t>
        </is>
      </c>
      <c r="Q374" t="inlineStr">
        <is>
          <t>+447710780306</t>
        </is>
      </c>
    </row>
    <row r="375">
      <c r="A375" t="inlineStr">
        <is>
          <t>6578c008bd906603f8fd7e87</t>
        </is>
      </c>
      <c r="B375" t="inlineStr">
        <is>
          <t>Roger Duke</t>
        </is>
      </c>
      <c r="C375">
        <f>HYPERLINK("http://www.linkedin.com/in/roger-duke-10554222")</f>
        <v/>
      </c>
      <c r="D375" t="inlineStr">
        <is>
          <t>Not Found</t>
        </is>
      </c>
      <c r="E375" t="inlineStr">
        <is>
          <t>Partner</t>
        </is>
      </c>
      <c r="F375">
        <f>HYPERLINK("https://app.apollo.io/#/contacts/6578c008bd906603f8fd7e87")</f>
        <v/>
      </c>
      <c r="G375" t="inlineStr">
        <is>
          <t>Michael Rogers LLP</t>
        </is>
      </c>
      <c r="H375">
        <f>HYPERLINK("https://app.apollo.io/#/accounts/6578bed8ccf69c01ae54f7e0")</f>
        <v/>
      </c>
      <c r="I375">
        <f>HYPERLINK("http://www.michaelrogers.co.uk/")</f>
        <v/>
      </c>
      <c r="J375">
        <f>HYPERLINK("http://www.linkedin.com/company/michael-rogers-llp")</f>
        <v/>
      </c>
      <c r="K375">
        <f>HYPERLINK("Not Found")</f>
        <v/>
      </c>
      <c r="L375">
        <f>HYPERLINK("https://facebook.com/pages/Michael-Rogers-LLP/212368852189933")</f>
        <v/>
      </c>
      <c r="M375" t="inlineStr">
        <is>
          <t>Redhill, United Kingdom</t>
        </is>
      </c>
      <c r="N375" t="inlineStr">
        <is>
          <t>10</t>
        </is>
      </c>
      <c r="O375" t="inlineStr">
        <is>
          <t>Commercial Real Estate</t>
        </is>
      </c>
      <c r="P375" t="inlineStr">
        <is>
          <t>commercial real estate,sales,investment</t>
        </is>
      </c>
      <c r="Q375" t="inlineStr">
        <is>
          <t>+441737230700</t>
        </is>
      </c>
    </row>
    <row r="376">
      <c r="A376" t="inlineStr">
        <is>
          <t>6578be6eccf69c01ae54f344</t>
        </is>
      </c>
      <c r="B376" t="inlineStr">
        <is>
          <t>Tony Horrell</t>
        </is>
      </c>
      <c r="C376">
        <f>HYPERLINK("http://www.linkedin.com/in/tony-horrell-b776a552")</f>
        <v/>
      </c>
      <c r="D376" t="inlineStr">
        <is>
          <t>Not Found</t>
        </is>
      </c>
      <c r="E376" t="inlineStr">
        <is>
          <t>Chief Executive Officer | UK and Ireland</t>
        </is>
      </c>
      <c r="F376">
        <f>HYPERLINK("https://app.apollo.io/#/contacts/6578be6eccf69c01ae54f344")</f>
        <v/>
      </c>
      <c r="G376" t="inlineStr">
        <is>
          <t>Colliers</t>
        </is>
      </c>
      <c r="H376">
        <f>HYPERLINK("https://app.apollo.io/#/accounts/64aaf6c63d556a0001e8eda6")</f>
        <v/>
      </c>
      <c r="I376">
        <f>HYPERLINK("http://www.colliers.com/")</f>
        <v/>
      </c>
      <c r="J376">
        <f>HYPERLINK("http://www.linkedin.com/company/colliers")</f>
        <v/>
      </c>
      <c r="K376">
        <f>HYPERLINK("https://twitter.com/Colliers")</f>
        <v/>
      </c>
      <c r="L376">
        <f>HYPERLINK("https://facebook.com/colliersinternational/")</f>
        <v/>
      </c>
      <c r="M376" t="inlineStr">
        <is>
          <t>London, United Kingdom</t>
        </is>
      </c>
      <c r="N376" t="inlineStr">
        <is>
          <t>25,000</t>
        </is>
      </c>
      <c r="O376" t="inlineStr">
        <is>
          <t>Commercial Real Estate</t>
        </is>
      </c>
      <c r="P376" t="inlineStr">
        <is>
          <t>brokerage &amp; agency,corporate solutions</t>
        </is>
      </c>
      <c r="Q376" t="inlineStr">
        <is>
          <t>+442079354499</t>
        </is>
      </c>
    </row>
    <row r="377">
      <c r="A377" t="inlineStr">
        <is>
          <t>62d65dfb4c4377000147d443</t>
        </is>
      </c>
      <c r="B377" t="inlineStr">
        <is>
          <t>James F.</t>
        </is>
      </c>
      <c r="C377">
        <f>HYPERLINK("http://www.linkedin.com/in/james-faulkner87")</f>
        <v/>
      </c>
      <c r="D377" t="inlineStr">
        <is>
          <t>Not Found</t>
        </is>
      </c>
      <c r="E377" t="inlineStr">
        <is>
          <t>Director</t>
        </is>
      </c>
      <c r="F377">
        <f>HYPERLINK("https://app.apollo.io/#/people/62d65dfb4c4377000147d443")</f>
        <v/>
      </c>
      <c r="G377" t="inlineStr">
        <is>
          <t>Reactive Rentals Limited</t>
        </is>
      </c>
      <c r="H377">
        <f>HYPERLINK("https://app.apollo.io/#/organizations/63c6b76d39d24001277a1bef")</f>
        <v/>
      </c>
      <c r="I377">
        <f>HYPERLINK("http://www.reactiverentals.co.uk/")</f>
        <v/>
      </c>
      <c r="J377">
        <f>HYPERLINK("http://www.linkedin.com/company/reactive-rentals-limited")</f>
        <v/>
      </c>
      <c r="K377">
        <f>HYPERLINK("Not Found")</f>
        <v/>
      </c>
      <c r="L377">
        <f>HYPERLINK("Not Found")</f>
        <v/>
      </c>
      <c r="M377" t="inlineStr">
        <is>
          <t>Iver, United Kingdom</t>
        </is>
      </c>
      <c r="N377" t="inlineStr">
        <is>
          <t>6</t>
        </is>
      </c>
      <c r="O377" t="inlineStr">
        <is>
          <t>Commercial Real Estate</t>
        </is>
      </c>
      <c r="P377" t="inlineStr">
        <is>
          <t>site support,powered access,international rental</t>
        </is>
      </c>
      <c r="Q377" t="inlineStr">
        <is>
          <t>Not Found</t>
        </is>
      </c>
    </row>
    <row r="378">
      <c r="A378" t="inlineStr">
        <is>
          <t>5f71331e160d120001daf30c</t>
        </is>
      </c>
      <c r="B378" t="inlineStr">
        <is>
          <t>Sam Baker</t>
        </is>
      </c>
      <c r="C378">
        <f>HYPERLINK("http://www.linkedin.com/in/samabaker1")</f>
        <v/>
      </c>
      <c r="D378" t="inlineStr">
        <is>
          <t>sam.baker@landsec.com</t>
        </is>
      </c>
      <c r="E378" t="inlineStr">
        <is>
          <t>HR Business Partner</t>
        </is>
      </c>
      <c r="F378">
        <f>HYPERLINK("https://app.apollo.io/#/people/5f71331e160d120001daf30c")</f>
        <v/>
      </c>
      <c r="G378" t="inlineStr">
        <is>
          <t>Landsec</t>
        </is>
      </c>
      <c r="H378">
        <f>HYPERLINK("https://app.apollo.io/#/accounts/6578b86a75dc3a02ccc995c8")</f>
        <v/>
      </c>
      <c r="I378">
        <f>HYPERLINK("http://www.landsec.com/")</f>
        <v/>
      </c>
      <c r="J378">
        <f>HYPERLINK("http://www.linkedin.com/company/landsec")</f>
        <v/>
      </c>
      <c r="K378">
        <f>HYPERLINK("https://twitter.com/landsecgroup?lang=en")</f>
        <v/>
      </c>
      <c r="L378">
        <f>HYPERLINK("https://facebook.com/pages/category/Real-Estate-Company/Landsec-Group-335042077050643/")</f>
        <v/>
      </c>
      <c r="M378" t="inlineStr">
        <is>
          <t>United Kingdom</t>
        </is>
      </c>
      <c r="N378" t="inlineStr">
        <is>
          <t>860</t>
        </is>
      </c>
      <c r="O378" t="inlineStr">
        <is>
          <t>Commercial Real Estate</t>
        </is>
      </c>
      <c r="P378" t="inlineStr">
        <is>
          <t>property investment,management &amp; development</t>
        </is>
      </c>
      <c r="Q378" t="inlineStr">
        <is>
          <t>+442074139000</t>
        </is>
      </c>
    </row>
    <row r="379">
      <c r="A379" t="inlineStr">
        <is>
          <t>6578bfffbd906602ccfd85b1</t>
        </is>
      </c>
      <c r="B379" t="inlineStr">
        <is>
          <t>Tariq Ansari</t>
        </is>
      </c>
      <c r="C379">
        <f>HYPERLINK("http://www.linkedin.com/in/tariq-ansari-910502140")</f>
        <v/>
      </c>
      <c r="D379" t="inlineStr">
        <is>
          <t>tariq.ansari@rivercommercial.com</t>
        </is>
      </c>
      <c r="E379" t="inlineStr">
        <is>
          <t>Partner</t>
        </is>
      </c>
      <c r="F379">
        <f>HYPERLINK("https://app.apollo.io/#/contacts/6578bfffbd906602ccfd85b1")</f>
        <v/>
      </c>
      <c r="G379" t="inlineStr">
        <is>
          <t>Capital Rivers Commercial</t>
        </is>
      </c>
      <c r="H379">
        <f>HYPERLINK("https://app.apollo.io/#/accounts/6578c000bd906602ccfd85b3")</f>
        <v/>
      </c>
      <c r="I379">
        <f>HYPERLINK("http://www.capitalrivers.com/")</f>
        <v/>
      </c>
      <c r="J379">
        <f>HYPERLINK("http://www.linkedin.com/company/capital-rivers-commercial")</f>
        <v/>
      </c>
      <c r="K379">
        <f>HYPERLINK("Not Found")</f>
        <v/>
      </c>
      <c r="L379">
        <f>HYPERLINK("https://www.facebook.com/capitalrivers")</f>
        <v/>
      </c>
      <c r="M379" t="inlineStr">
        <is>
          <t>London, United Kingdom</t>
        </is>
      </c>
      <c r="N379" t="inlineStr">
        <is>
          <t>20</t>
        </is>
      </c>
      <c r="O379" t="inlineStr">
        <is>
          <t>Commercial Real Estate</t>
        </is>
      </c>
      <c r="P379" t="inlineStr">
        <is>
          <t>retail,development,brokerage,managment</t>
        </is>
      </c>
      <c r="Q379" t="inlineStr">
        <is>
          <t>(916)-514-5225</t>
        </is>
      </c>
    </row>
    <row r="380">
      <c r="A380" t="inlineStr">
        <is>
          <t>6578bf42ccf69c01ae54fae0</t>
        </is>
      </c>
      <c r="B380" t="inlineStr">
        <is>
          <t>Mark Robinson</t>
        </is>
      </c>
      <c r="C380">
        <f>HYPERLINK("http://www.linkedin.com/in/mark-robinson-b8760413")</f>
        <v/>
      </c>
      <c r="D380" t="inlineStr">
        <is>
          <t>Not Found</t>
        </is>
      </c>
      <c r="E380" t="inlineStr">
        <is>
          <t>Partner</t>
        </is>
      </c>
      <c r="F380">
        <f>HYPERLINK("https://app.apollo.io/#/contacts/6578bf42ccf69c01ae54fae0")</f>
        <v/>
      </c>
      <c r="G380" t="inlineStr">
        <is>
          <t>Robinson Layer LLP</t>
        </is>
      </c>
      <c r="H380">
        <f>HYPERLINK("https://app.apollo.io/#/accounts/6578bf42ccf69c01ae54fae2")</f>
        <v/>
      </c>
      <c r="I380">
        <f>HYPERLINK("http://www.robinsonlayer.co.uk/")</f>
        <v/>
      </c>
      <c r="J380">
        <f>HYPERLINK("http://www.linkedin.com/company/robinson-layer-llp")</f>
        <v/>
      </c>
      <c r="K380">
        <f>HYPERLINK("Not Found")</f>
        <v/>
      </c>
      <c r="L380">
        <f>HYPERLINK("Not Found")</f>
        <v/>
      </c>
      <c r="M380" t="inlineStr">
        <is>
          <t>Cambridge, United Kingdom</t>
        </is>
      </c>
      <c r="N380" t="inlineStr">
        <is>
          <t>3</t>
        </is>
      </c>
      <c r="O380" t="inlineStr">
        <is>
          <t>Commercial Real Estate</t>
        </is>
      </c>
      <c r="P380" t="inlineStr">
        <is>
          <t>landlord tenant,rating amp valuation</t>
        </is>
      </c>
      <c r="Q380" t="inlineStr">
        <is>
          <t>+441223300966</t>
        </is>
      </c>
    </row>
    <row r="381">
      <c r="A381" t="inlineStr">
        <is>
          <t>6578bf3accf69c02cc54f190</t>
        </is>
      </c>
      <c r="B381" t="inlineStr">
        <is>
          <t>Tim Howlings</t>
        </is>
      </c>
      <c r="C381">
        <f>HYPERLINK("http://www.linkedin.com/in/timhowlings")</f>
        <v/>
      </c>
      <c r="D381" t="inlineStr">
        <is>
          <t>tim.howlings@brasierfreeth.com</t>
        </is>
      </c>
      <c r="E381" t="inlineStr">
        <is>
          <t>Partner</t>
        </is>
      </c>
      <c r="F381">
        <f>HYPERLINK("https://app.apollo.io/#/contacts/6578bf3accf69c02cc54f190")</f>
        <v/>
      </c>
      <c r="G381" t="inlineStr">
        <is>
          <t>Brasier Freeth</t>
        </is>
      </c>
      <c r="H381">
        <f>HYPERLINK("https://app.apollo.io/#/accounts/6578bf3accf69c02cc54f192")</f>
        <v/>
      </c>
      <c r="I381">
        <f>HYPERLINK("http://www.brasierfreeth.com/")</f>
        <v/>
      </c>
      <c r="J381">
        <f>HYPERLINK("http://www.linkedin.com/company/brasier-freeth-llp")</f>
        <v/>
      </c>
      <c r="K381">
        <f>HYPERLINK("https://twitter.com/brasierfreeth")</f>
        <v/>
      </c>
      <c r="L381">
        <f>HYPERLINK("Not Found")</f>
        <v/>
      </c>
      <c r="M381" t="inlineStr">
        <is>
          <t>Watford, United Kingdom</t>
        </is>
      </c>
      <c r="N381" t="inlineStr">
        <is>
          <t>37</t>
        </is>
      </c>
      <c r="O381" t="inlineStr">
        <is>
          <t>Commercial Real Estate</t>
        </is>
      </c>
      <c r="P381" t="inlineStr">
        <is>
          <t>commercial property acquisitions,disposals</t>
        </is>
      </c>
      <c r="Q381" t="inlineStr">
        <is>
          <t>+441442263033</t>
        </is>
      </c>
    </row>
    <row r="382">
      <c r="A382" t="inlineStr">
        <is>
          <t>6578bf02ccf69c02cc54f0ab</t>
        </is>
      </c>
      <c r="B382" t="inlineStr">
        <is>
          <t>Roland Browning</t>
        </is>
      </c>
      <c r="C382">
        <f>HYPERLINK("http://www.linkedin.com/in/rolandbrowningcreadvice")</f>
        <v/>
      </c>
      <c r="D382" t="inlineStr">
        <is>
          <t>Not Found</t>
        </is>
      </c>
      <c r="E382" t="inlineStr">
        <is>
          <t>Partner</t>
        </is>
      </c>
      <c r="F382">
        <f>HYPERLINK("https://app.apollo.io/#/contacts/6578bf02ccf69c02cc54f0ab")</f>
        <v/>
      </c>
      <c r="G382" t="inlineStr">
        <is>
          <t>Vail Williams</t>
        </is>
      </c>
      <c r="H382">
        <f>HYPERLINK("https://app.apollo.io/#/accounts/6578bf02ccf69c02cc54f0ad")</f>
        <v/>
      </c>
      <c r="I382">
        <f>HYPERLINK("http://www.vailwilliams.com/")</f>
        <v/>
      </c>
      <c r="J382">
        <f>HYPERLINK("http://www.linkedin.com/company/vail-williams")</f>
        <v/>
      </c>
      <c r="K382">
        <f>HYPERLINK("https://twitter.com/vailwilliams")</f>
        <v/>
      </c>
      <c r="L382">
        <f>HYPERLINK("https://www.facebook.com/vailwilliams")</f>
        <v/>
      </c>
      <c r="M382" t="inlineStr">
        <is>
          <t>London, United Kingdom</t>
        </is>
      </c>
      <c r="N382" t="inlineStr">
        <is>
          <t>200</t>
        </is>
      </c>
      <c r="O382" t="inlineStr">
        <is>
          <t>Commercial Real Estate</t>
        </is>
      </c>
      <c r="P382" t="inlineStr">
        <is>
          <t>real estate,real estate agents</t>
        </is>
      </c>
      <c r="Q382" t="inlineStr">
        <is>
          <t>+442035890080</t>
        </is>
      </c>
    </row>
    <row r="383">
      <c r="A383" t="inlineStr">
        <is>
          <t>6578bef1ccf69c01ae54f886</t>
        </is>
      </c>
      <c r="B383" t="inlineStr">
        <is>
          <t>Robert Toland</t>
        </is>
      </c>
      <c r="C383">
        <f>HYPERLINK("http://www.linkedin.com/in/robert-toland-58769316")</f>
        <v/>
      </c>
      <c r="D383" t="inlineStr">
        <is>
          <t>robert.toland@cushwake-ni.com</t>
        </is>
      </c>
      <c r="E383" t="inlineStr">
        <is>
          <t>Partner</t>
        </is>
      </c>
      <c r="F383">
        <f>HYPERLINK("https://app.apollo.io/#/contacts/6578bef1ccf69c01ae54f886")</f>
        <v/>
      </c>
      <c r="G383" t="inlineStr">
        <is>
          <t>Cushman &amp; Wakefield - Formerly DTZ</t>
        </is>
      </c>
      <c r="H383">
        <f>HYPERLINK("https://app.apollo.io/#/accounts/6578bef1ccf69c01ae54f888")</f>
        <v/>
      </c>
      <c r="I383">
        <f>HYPERLINK("http://www.cushwake-ni.com/")</f>
        <v/>
      </c>
      <c r="J383">
        <f>HYPERLINK("http://www.linkedin.com/company/dtz")</f>
        <v/>
      </c>
      <c r="K383">
        <f>HYPERLINK("Not Found")</f>
        <v/>
      </c>
      <c r="L383">
        <f>HYPERLINK("Not Found")</f>
        <v/>
      </c>
      <c r="M383" t="inlineStr">
        <is>
          <t>Belfast, United Kingdom</t>
        </is>
      </c>
      <c r="N383" t="inlineStr">
        <is>
          <t>3,800</t>
        </is>
      </c>
      <c r="O383" t="inlineStr">
        <is>
          <t>Commercial Real Estate</t>
        </is>
      </c>
      <c r="P383" t="inlineStr">
        <is>
          <t>agency leasing,capital markets,consulting</t>
        </is>
      </c>
      <c r="Q383" t="inlineStr">
        <is>
          <t>(212)-841-7500</t>
        </is>
      </c>
    </row>
    <row r="384">
      <c r="A384" t="inlineStr">
        <is>
          <t>6578bee9ccf69c02cc54f06a</t>
        </is>
      </c>
      <c r="B384" t="inlineStr">
        <is>
          <t>Russell Nimmo</t>
        </is>
      </c>
      <c r="C384">
        <f>HYPERLINK("http://www.linkedin.com/in/russell-nimmo-b106076a")</f>
        <v/>
      </c>
      <c r="D384" t="inlineStr">
        <is>
          <t>Not Found</t>
        </is>
      </c>
      <c r="E384" t="inlineStr">
        <is>
          <t>Partner</t>
        </is>
      </c>
      <c r="F384">
        <f>HYPERLINK("https://app.apollo.io/#/contacts/6578bee9ccf69c02cc54f06a")</f>
        <v/>
      </c>
      <c r="G384" t="inlineStr">
        <is>
          <t>Kimmre</t>
        </is>
      </c>
      <c r="H384">
        <f>HYPERLINK("https://app.apollo.io/#/accounts/6578bee9ccf69c02cc54f06c")</f>
        <v/>
      </c>
      <c r="I384">
        <f>HYPERLINK("http://www.kimmre.com/")</f>
        <v/>
      </c>
      <c r="J384">
        <f>HYPERLINK("http://www.linkedin.com/company/kimmre")</f>
        <v/>
      </c>
      <c r="K384">
        <f>HYPERLINK("Not Found")</f>
        <v/>
      </c>
      <c r="L384">
        <f>HYPERLINK("Not Found")</f>
        <v/>
      </c>
      <c r="M384" t="inlineStr">
        <is>
          <t>London, United Kingdom</t>
        </is>
      </c>
      <c r="N384" t="inlineStr">
        <is>
          <t>18</t>
        </is>
      </c>
      <c r="O384" t="inlineStr">
        <is>
          <t>Commercial Real Estate</t>
        </is>
      </c>
      <c r="P384" t="inlineStr">
        <is>
          <t>commercial real estate,investment</t>
        </is>
      </c>
      <c r="Q384" t="inlineStr">
        <is>
          <t>(207)-152-5859</t>
        </is>
      </c>
    </row>
    <row r="385">
      <c r="A385" t="inlineStr">
        <is>
          <t>6578bf6dccf69c02cc54f292</t>
        </is>
      </c>
      <c r="B385" t="inlineStr">
        <is>
          <t>James Mordecai</t>
        </is>
      </c>
      <c r="C385">
        <f>HYPERLINK("http://www.linkedin.com/in/james-mordecai-b8516b1b")</f>
        <v/>
      </c>
      <c r="D385" t="inlineStr">
        <is>
          <t>jamesmordecai@hrt.uk.com</t>
        </is>
      </c>
      <c r="E385" t="inlineStr">
        <is>
          <t>Partner</t>
        </is>
      </c>
      <c r="F385">
        <f>HYPERLINK("https://app.apollo.io/#/contacts/6578bf6dccf69c02cc54f292")</f>
        <v/>
      </c>
      <c r="G385" t="inlineStr">
        <is>
          <t>Herbert R Thomas</t>
        </is>
      </c>
      <c r="H385">
        <f>HYPERLINK("https://app.apollo.io/#/accounts/6578bf6eccf69c02cc54f294")</f>
        <v/>
      </c>
      <c r="I385">
        <f>HYPERLINK("http://www.hrt.uk.com/")</f>
        <v/>
      </c>
      <c r="J385">
        <f>HYPERLINK("http://www.linkedin.com/company/herbert-r-thomas")</f>
        <v/>
      </c>
      <c r="K385">
        <f>HYPERLINK("https://twitter.com/HerbertRThomas")</f>
        <v/>
      </c>
      <c r="L385">
        <f>HYPERLINK("https://www.facebook.com/Herbert-R-Thomas-247651058594338/")</f>
        <v/>
      </c>
      <c r="M385" t="inlineStr">
        <is>
          <t>Cardiff, United Kingdom</t>
        </is>
      </c>
      <c r="N385" t="inlineStr">
        <is>
          <t>34</t>
        </is>
      </c>
      <c r="O385" t="inlineStr">
        <is>
          <t>Commercial Real Estate</t>
        </is>
      </c>
      <c r="P385" t="inlineStr">
        <is>
          <t>surveying,valuers,estate agents,agriculture</t>
        </is>
      </c>
      <c r="Q385" t="inlineStr">
        <is>
          <t>+441446772911</t>
        </is>
      </c>
    </row>
    <row r="386">
      <c r="A386" t="inlineStr">
        <is>
          <t>6578bf98beafb902cc2d3921</t>
        </is>
      </c>
      <c r="B386" t="inlineStr">
        <is>
          <t>Craig Simpson</t>
        </is>
      </c>
      <c r="C386">
        <f>HYPERLINK("http://www.linkedin.com/in/craig-simpson-71a16844")</f>
        <v/>
      </c>
      <c r="D386" t="inlineStr">
        <is>
          <t>Not Found</t>
        </is>
      </c>
      <c r="E386" t="inlineStr">
        <is>
          <t>Partner</t>
        </is>
      </c>
      <c r="F386">
        <f>HYPERLINK("https://app.apollo.io/#/contacts/6578bf98beafb902cc2d3921")</f>
        <v/>
      </c>
      <c r="G386" t="inlineStr">
        <is>
          <t>Tavistock Bow</t>
        </is>
      </c>
      <c r="H386">
        <f>HYPERLINK("https://app.apollo.io/#/accounts/6578bf4bccf69c02cc54f1e3")</f>
        <v/>
      </c>
      <c r="I386">
        <f>HYPERLINK("http://www.tavistockbow.com/")</f>
        <v/>
      </c>
      <c r="J386">
        <f>HYPERLINK("http://www.linkedin.com/company/tavistock-bow")</f>
        <v/>
      </c>
      <c r="K386">
        <f>HYPERLINK("https://twitter.com/tavistockbow")</f>
        <v/>
      </c>
      <c r="L386">
        <f>HYPERLINK("https://www.facebook.com/tavistockbow")</f>
        <v/>
      </c>
      <c r="M386" t="inlineStr">
        <is>
          <t>United Kingdom</t>
        </is>
      </c>
      <c r="N386" t="inlineStr">
        <is>
          <t>9</t>
        </is>
      </c>
      <c r="O386" t="inlineStr">
        <is>
          <t>Commercial Real Estate</t>
        </is>
      </c>
      <c r="P386" t="inlineStr">
        <is>
          <t>commercial real estate,residential property</t>
        </is>
      </c>
      <c r="Q386" t="inlineStr">
        <is>
          <t>+442074772177</t>
        </is>
      </c>
    </row>
    <row r="387">
      <c r="A387" t="inlineStr">
        <is>
          <t>6578bf4bccf69c02cc54f1e1</t>
        </is>
      </c>
      <c r="B387" t="inlineStr">
        <is>
          <t>Hannah Read</t>
        </is>
      </c>
      <c r="C387">
        <f>HYPERLINK("http://www.linkedin.com/in/hannah-read-a85aa733")</f>
        <v/>
      </c>
      <c r="D387" t="inlineStr">
        <is>
          <t>hannah@tavistockbow.com</t>
        </is>
      </c>
      <c r="E387" t="inlineStr">
        <is>
          <t>Partner</t>
        </is>
      </c>
      <c r="F387">
        <f>HYPERLINK("https://app.apollo.io/#/contacts/6578bf4bccf69c02cc54f1e1")</f>
        <v/>
      </c>
      <c r="G387" t="inlineStr">
        <is>
          <t>Tavistock Bow</t>
        </is>
      </c>
      <c r="H387">
        <f>HYPERLINK("https://app.apollo.io/#/accounts/6578bf4bccf69c02cc54f1e3")</f>
        <v/>
      </c>
      <c r="I387">
        <f>HYPERLINK("http://www.tavistockbow.com/")</f>
        <v/>
      </c>
      <c r="J387">
        <f>HYPERLINK("http://www.linkedin.com/company/tavistock-bow")</f>
        <v/>
      </c>
      <c r="K387">
        <f>HYPERLINK("https://twitter.com/tavistockbow")</f>
        <v/>
      </c>
      <c r="L387">
        <f>HYPERLINK("https://www.facebook.com/tavistockbow")</f>
        <v/>
      </c>
      <c r="M387" t="inlineStr">
        <is>
          <t>London, United Kingdom</t>
        </is>
      </c>
      <c r="N387" t="inlineStr">
        <is>
          <t>9</t>
        </is>
      </c>
      <c r="O387" t="inlineStr">
        <is>
          <t>Commercial Real Estate</t>
        </is>
      </c>
      <c r="P387" t="inlineStr">
        <is>
          <t>commercial real estate,residential property</t>
        </is>
      </c>
      <c r="Q387" t="inlineStr">
        <is>
          <t>+442074772177</t>
        </is>
      </c>
    </row>
    <row r="388">
      <c r="A388" t="inlineStr">
        <is>
          <t>6578bf2dccf69c01ae54fa3b</t>
        </is>
      </c>
      <c r="B388" t="inlineStr">
        <is>
          <t>Simon Lloyd</t>
        </is>
      </c>
      <c r="C388">
        <f>HYPERLINK("http://www.linkedin.com/in/simon-lloyd-1aa38622")</f>
        <v/>
      </c>
      <c r="D388" t="inlineStr">
        <is>
          <t>Not Found</t>
        </is>
      </c>
      <c r="E388" t="inlineStr">
        <is>
          <t>Partner</t>
        </is>
      </c>
      <c r="F388">
        <f>HYPERLINK("https://app.apollo.io/#/contacts/6578bf2dccf69c01ae54fa3b")</f>
        <v/>
      </c>
      <c r="G388" t="inlineStr">
        <is>
          <t>Cushman &amp; Wakefield - Formerly DTZ</t>
        </is>
      </c>
      <c r="H388">
        <f>HYPERLINK("https://app.apollo.io/#/accounts/6578bef1ccf69c01ae54f888")</f>
        <v/>
      </c>
      <c r="I388">
        <f>HYPERLINK("http://www.cushwake-ni.com/")</f>
        <v/>
      </c>
      <c r="J388">
        <f>HYPERLINK("http://www.linkedin.com/company/dtz")</f>
        <v/>
      </c>
      <c r="K388">
        <f>HYPERLINK("Not Found")</f>
        <v/>
      </c>
      <c r="L388">
        <f>HYPERLINK("Not Found")</f>
        <v/>
      </c>
      <c r="M388" t="inlineStr">
        <is>
          <t>England, United Kingdom</t>
        </is>
      </c>
      <c r="N388" t="inlineStr">
        <is>
          <t>3,800</t>
        </is>
      </c>
      <c r="O388" t="inlineStr">
        <is>
          <t>Commercial Real Estate</t>
        </is>
      </c>
      <c r="P388" t="inlineStr">
        <is>
          <t>agency leasing,capital markets,consulting</t>
        </is>
      </c>
      <c r="Q388" t="inlineStr">
        <is>
          <t>(212)-841-7500</t>
        </is>
      </c>
    </row>
    <row r="389">
      <c r="A389" t="inlineStr">
        <is>
          <t>6578bf1cccf69c01ae54f9a5</t>
        </is>
      </c>
      <c r="B389" t="inlineStr">
        <is>
          <t>Robert Dales</t>
        </is>
      </c>
      <c r="C389">
        <f>HYPERLINK("http://www.linkedin.com/in/rob-dales-62a5bb17")</f>
        <v/>
      </c>
      <c r="D389" t="inlineStr">
        <is>
          <t>rdales@klmretail.com</t>
        </is>
      </c>
      <c r="E389" t="inlineStr">
        <is>
          <t>Partner</t>
        </is>
      </c>
      <c r="F389">
        <f>HYPERLINK("https://app.apollo.io/#/contacts/6578bf1cccf69c01ae54f9a5")</f>
        <v/>
      </c>
      <c r="G389" t="inlineStr">
        <is>
          <t>KLM Real Estate</t>
        </is>
      </c>
      <c r="H389">
        <f>HYPERLINK("https://app.apollo.io/#/accounts/6578bee1ccf69c01ae54f83f")</f>
        <v/>
      </c>
      <c r="I389">
        <f>HYPERLINK("http://www.klm-re.com/")</f>
        <v/>
      </c>
      <c r="J389">
        <f>HYPERLINK("http://www.linkedin.com/company/klm-realestate")</f>
        <v/>
      </c>
      <c r="K389">
        <f>HYPERLINK("https://twitter.com/klmrealestate")</f>
        <v/>
      </c>
      <c r="L389">
        <f>HYPERLINK("Not Found")</f>
        <v/>
      </c>
      <c r="M389" t="inlineStr">
        <is>
          <t>West End, United Kingdom</t>
        </is>
      </c>
      <c r="N389" t="inlineStr">
        <is>
          <t>25</t>
        </is>
      </c>
      <c r="O389" t="inlineStr">
        <is>
          <t>Commercial Real Estate</t>
        </is>
      </c>
      <c r="P389" t="inlineStr">
        <is>
          <t>agency,investment,lease advisory</t>
        </is>
      </c>
      <c r="Q389" t="inlineStr">
        <is>
          <t>+442073173700</t>
        </is>
      </c>
    </row>
    <row r="390">
      <c r="A390" t="inlineStr">
        <is>
          <t>6578bf7ebeafb901ae2d44bd</t>
        </is>
      </c>
      <c r="B390" t="inlineStr">
        <is>
          <t>Simon Higgins</t>
        </is>
      </c>
      <c r="C390">
        <f>HYPERLINK("http://www.linkedin.com/in/simon-higgins-34139713")</f>
        <v/>
      </c>
      <c r="D390" t="inlineStr">
        <is>
          <t>Not Found</t>
        </is>
      </c>
      <c r="E390" t="inlineStr">
        <is>
          <t>Partner</t>
        </is>
      </c>
      <c r="F390">
        <f>HYPERLINK("https://app.apollo.io/#/contacts/6578bf7ebeafb901ae2d44bd")</f>
        <v/>
      </c>
      <c r="G390" t="inlineStr">
        <is>
          <t>Levy Real Estate</t>
        </is>
      </c>
      <c r="H390">
        <f>HYPERLINK("https://app.apollo.io/#/accounts/6578bf7ebeafb901ae2d44bf")</f>
        <v/>
      </c>
      <c r="I390">
        <f>HYPERLINK("http://www.levyrealestate.co.uk/")</f>
        <v/>
      </c>
      <c r="J390">
        <f>HYPERLINK("http://www.linkedin.com/company/levyrealestate")</f>
        <v/>
      </c>
      <c r="K390">
        <f>HYPERLINK("Not Found")</f>
        <v/>
      </c>
      <c r="L390">
        <f>HYPERLINK("Not Found")</f>
        <v/>
      </c>
      <c r="M390" t="inlineStr">
        <is>
          <t>London, United Kingdom</t>
        </is>
      </c>
      <c r="N390" t="inlineStr">
        <is>
          <t>50</t>
        </is>
      </c>
      <c r="O390" t="inlineStr">
        <is>
          <t>Commercial Real Estate</t>
        </is>
      </c>
      <c r="Q390" t="inlineStr">
        <is>
          <t>+447976266608</t>
        </is>
      </c>
    </row>
    <row r="391">
      <c r="A391" t="inlineStr">
        <is>
          <t>6578bf5cccf69c01ae54fb65</t>
        </is>
      </c>
      <c r="B391" t="inlineStr">
        <is>
          <t>Paul Gummer</t>
        </is>
      </c>
      <c r="C391">
        <f>HYPERLINK("http://www.linkedin.com/in/paul-gummer-966a3314")</f>
        <v/>
      </c>
      <c r="D391" t="inlineStr">
        <is>
          <t>paul.gummer@cushwake.com</t>
        </is>
      </c>
      <c r="E391" t="inlineStr">
        <is>
          <t>Partner</t>
        </is>
      </c>
      <c r="F391">
        <f>HYPERLINK("https://app.apollo.io/#/contacts/6578bf5cccf69c01ae54fb65")</f>
        <v/>
      </c>
      <c r="G391" t="inlineStr">
        <is>
          <t>Cushman &amp; Wakefield - Formerly DTZ</t>
        </is>
      </c>
      <c r="H391">
        <f>HYPERLINK("https://app.apollo.io/#/accounts/6578bef1ccf69c01ae54f888")</f>
        <v/>
      </c>
      <c r="I391">
        <f>HYPERLINK("http://www.cushwake-ni.com/")</f>
        <v/>
      </c>
      <c r="J391">
        <f>HYPERLINK("http://www.linkedin.com/company/dtz")</f>
        <v/>
      </c>
      <c r="K391">
        <f>HYPERLINK("Not Found")</f>
        <v/>
      </c>
      <c r="L391">
        <f>HYPERLINK("Not Found")</f>
        <v/>
      </c>
      <c r="M391" t="inlineStr">
        <is>
          <t>London, United Kingdom</t>
        </is>
      </c>
      <c r="N391" t="inlineStr">
        <is>
          <t>3,800</t>
        </is>
      </c>
      <c r="O391" t="inlineStr">
        <is>
          <t>Commercial Real Estate</t>
        </is>
      </c>
      <c r="P391" t="inlineStr">
        <is>
          <t>agency leasing,capital markets,consulting</t>
        </is>
      </c>
      <c r="Q391" t="inlineStr">
        <is>
          <t>(212)-841-7500</t>
        </is>
      </c>
    </row>
    <row r="392">
      <c r="A392" t="inlineStr">
        <is>
          <t>6578bf13ccf69c01ae54f969</t>
        </is>
      </c>
      <c r="B392" t="inlineStr">
        <is>
          <t>Roderick Mackay</t>
        </is>
      </c>
      <c r="C392">
        <f>HYPERLINK("http://www.linkedin.com/in/roderick-mackay-10701226")</f>
        <v/>
      </c>
      <c r="D392" t="inlineStr">
        <is>
          <t>roderick.mackay@acrellp.com</t>
        </is>
      </c>
      <c r="E392" t="inlineStr">
        <is>
          <t>Partner</t>
        </is>
      </c>
      <c r="F392">
        <f>HYPERLINK("https://app.apollo.io/#/contacts/6578bf13ccf69c01ae54f969")</f>
        <v/>
      </c>
      <c r="G392" t="inlineStr">
        <is>
          <t>ACRE Capital Real Estate LLP</t>
        </is>
      </c>
      <c r="H392">
        <f>HYPERLINK("https://app.apollo.io/#/accounts/6578bed0ccf69c03ea54ebc8")</f>
        <v/>
      </c>
      <c r="I392">
        <f>HYPERLINK("http://www.acrellp.com/")</f>
        <v/>
      </c>
      <c r="J392">
        <f>HYPERLINK("http://www.linkedin.com/company/acre-capital-real-estate-llp")</f>
        <v/>
      </c>
      <c r="K392">
        <f>HYPERLINK("Not Found")</f>
        <v/>
      </c>
      <c r="L392">
        <f>HYPERLINK("Not Found")</f>
        <v/>
      </c>
      <c r="M392" t="inlineStr">
        <is>
          <t>London, United Kingdom</t>
        </is>
      </c>
      <c r="N392" t="inlineStr">
        <is>
          <t>20</t>
        </is>
      </c>
      <c r="O392" t="inlineStr">
        <is>
          <t>Commercial Real Estate</t>
        </is>
      </c>
      <c r="P392" t="inlineStr">
        <is>
          <t>commercial real estate,business space investment</t>
        </is>
      </c>
      <c r="Q392" t="inlineStr">
        <is>
          <t>+442039034368</t>
        </is>
      </c>
    </row>
    <row r="393">
      <c r="A393" t="inlineStr">
        <is>
          <t>6578bee1ccf69c01ae54f83d</t>
        </is>
      </c>
      <c r="B393" t="inlineStr">
        <is>
          <t>James Andrews</t>
        </is>
      </c>
      <c r="C393">
        <f>HYPERLINK("http://www.linkedin.com/in/jamesandrewsklm")</f>
        <v/>
      </c>
      <c r="D393" t="inlineStr">
        <is>
          <t>jandrews@klmretail.com</t>
        </is>
      </c>
      <c r="E393" t="inlineStr">
        <is>
          <t>Partner</t>
        </is>
      </c>
      <c r="F393">
        <f>HYPERLINK("https://app.apollo.io/#/contacts/6578bee1ccf69c01ae54f83d")</f>
        <v/>
      </c>
      <c r="G393" t="inlineStr">
        <is>
          <t>KLM Real Estate</t>
        </is>
      </c>
      <c r="H393">
        <f>HYPERLINK("https://app.apollo.io/#/accounts/6578bee1ccf69c01ae54f83f")</f>
        <v/>
      </c>
      <c r="I393">
        <f>HYPERLINK("http://www.klm-re.com/")</f>
        <v/>
      </c>
      <c r="J393">
        <f>HYPERLINK("http://www.linkedin.com/company/klm-realestate")</f>
        <v/>
      </c>
      <c r="K393">
        <f>HYPERLINK("https://twitter.com/klmrealestate")</f>
        <v/>
      </c>
      <c r="L393">
        <f>HYPERLINK("Not Found")</f>
        <v/>
      </c>
      <c r="M393" t="inlineStr">
        <is>
          <t>London, United Kingdom</t>
        </is>
      </c>
      <c r="N393" t="inlineStr">
        <is>
          <t>25</t>
        </is>
      </c>
      <c r="O393" t="inlineStr">
        <is>
          <t>Commercial Real Estate</t>
        </is>
      </c>
      <c r="P393" t="inlineStr">
        <is>
          <t>agency,investment,lease advisory</t>
        </is>
      </c>
      <c r="Q393" t="inlineStr">
        <is>
          <t>+442073173708</t>
        </is>
      </c>
    </row>
    <row r="394">
      <c r="A394" t="inlineStr">
        <is>
          <t>6578bf35ccf69c01ae54fa86</t>
        </is>
      </c>
      <c r="B394" t="inlineStr">
        <is>
          <t>Andrew Hardwick</t>
        </is>
      </c>
      <c r="C394">
        <f>HYPERLINK("http://www.linkedin.com/in/andrew-hardwick-b481bba")</f>
        <v/>
      </c>
      <c r="D394" t="inlineStr">
        <is>
          <t>Not Found</t>
        </is>
      </c>
      <c r="E394" t="inlineStr">
        <is>
          <t>Partner</t>
        </is>
      </c>
      <c r="F394">
        <f>HYPERLINK("https://app.apollo.io/#/contacts/6578bf35ccf69c01ae54fa86")</f>
        <v/>
      </c>
      <c r="G394" t="inlineStr">
        <is>
          <t>Carter Jonas LLP</t>
        </is>
      </c>
      <c r="H394">
        <f>HYPERLINK("https://app.apollo.io/#/accounts/6578bf35ccf69c01ae54fa87")</f>
        <v/>
      </c>
      <c r="I394">
        <f>HYPERLINK("http://www.carterjonas.co.uk/")</f>
        <v/>
      </c>
      <c r="J394">
        <f>HYPERLINK("http://www.linkedin.com/company/williams-gunter-hardwick")</f>
        <v/>
      </c>
      <c r="K394">
        <f>HYPERLINK("Not Found")</f>
        <v/>
      </c>
      <c r="L394">
        <f>HYPERLINK("Not Found")</f>
        <v/>
      </c>
      <c r="M394" t="inlineStr">
        <is>
          <t>Bristol, United Kingdom</t>
        </is>
      </c>
      <c r="N394" t="inlineStr">
        <is>
          <t>5</t>
        </is>
      </c>
      <c r="O394" t="inlineStr">
        <is>
          <t>Commercial Real Estate</t>
        </is>
      </c>
      <c r="P394" t="inlineStr">
        <is>
          <t>retail agency,industrial agency,office agency</t>
        </is>
      </c>
      <c r="Q394" t="inlineStr">
        <is>
          <t>Not Found</t>
        </is>
      </c>
    </row>
    <row r="395">
      <c r="A395" t="inlineStr">
        <is>
          <t>6578bfeabd906601aefd920c</t>
        </is>
      </c>
      <c r="B395" t="inlineStr">
        <is>
          <t>Tony Hindley</t>
        </is>
      </c>
      <c r="C395">
        <f>HYPERLINK("http://www.linkedin.com/in/tony-hindley-9748b244")</f>
        <v/>
      </c>
      <c r="D395" t="inlineStr">
        <is>
          <t>Not Found</t>
        </is>
      </c>
      <c r="E395" t="inlineStr">
        <is>
          <t>Partner</t>
        </is>
      </c>
      <c r="F395">
        <f>HYPERLINK("https://app.apollo.io/#/contacts/6578bfeabd906601aefd920c")</f>
        <v/>
      </c>
      <c r="G395" t="inlineStr">
        <is>
          <t>Hindley Lawrence Ltd</t>
        </is>
      </c>
      <c r="H395">
        <f>HYPERLINK("https://app.apollo.io/#/accounts/6578bfeabd906601aefd920e")</f>
        <v/>
      </c>
      <c r="I395">
        <f>HYPERLINK("http://www.hindleylawrence.co.uk/")</f>
        <v/>
      </c>
      <c r="J395">
        <f>HYPERLINK("http://www.linkedin.com/company/hindley-lawrence")</f>
        <v/>
      </c>
      <c r="K395">
        <f>HYPERLINK("Not Found")</f>
        <v/>
      </c>
      <c r="L395">
        <f>HYPERLINK("Not Found")</f>
        <v/>
      </c>
      <c r="M395" t="inlineStr">
        <is>
          <t>Manchester, United Kingdom</t>
        </is>
      </c>
      <c r="N395" t="inlineStr">
        <is>
          <t>3</t>
        </is>
      </c>
      <c r="O395" t="inlineStr">
        <is>
          <t>Commercial Real Estate</t>
        </is>
      </c>
      <c r="P395" t="inlineStr">
        <is>
          <t>filling stations,commercial property advisor</t>
        </is>
      </c>
      <c r="Q395" t="inlineStr">
        <is>
          <t>+443448800034</t>
        </is>
      </c>
    </row>
    <row r="396">
      <c r="A396" t="inlineStr">
        <is>
          <t>54ec37fa746869444cc63068</t>
        </is>
      </c>
      <c r="B396" t="inlineStr">
        <is>
          <t>Matt Sharman</t>
        </is>
      </c>
      <c r="C396">
        <f>HYPERLINK("http://www.linkedin.com/in/matt-sharman-799bba75")</f>
        <v/>
      </c>
      <c r="D396" t="inlineStr">
        <is>
          <t>matt.sharman@levyrealestate.co.uk</t>
        </is>
      </c>
      <c r="E396" t="inlineStr">
        <is>
          <t>Residential Development &amp; Investment Partner</t>
        </is>
      </c>
      <c r="F396">
        <f>HYPERLINK("https://app.apollo.io/#/people/54ec37fa746869444cc63068")</f>
        <v/>
      </c>
      <c r="G396" t="inlineStr">
        <is>
          <t>Levy Real Estate</t>
        </is>
      </c>
      <c r="H396">
        <f>HYPERLINK("https://app.apollo.io/#/accounts/6578bf7ebeafb901ae2d44bf")</f>
        <v/>
      </c>
      <c r="I396">
        <f>HYPERLINK("http://www.levyrealestate.co.uk/")</f>
        <v/>
      </c>
      <c r="J396">
        <f>HYPERLINK("http://www.linkedin.com/company/levyrealestate")</f>
        <v/>
      </c>
      <c r="K396">
        <f>HYPERLINK("Not Found")</f>
        <v/>
      </c>
      <c r="L396">
        <f>HYPERLINK("Not Found")</f>
        <v/>
      </c>
      <c r="M396" t="inlineStr">
        <is>
          <t>London, United Kingdom</t>
        </is>
      </c>
      <c r="N396" t="inlineStr">
        <is>
          <t>50</t>
        </is>
      </c>
      <c r="O396" t="inlineStr">
        <is>
          <t>Commercial Real Estate</t>
        </is>
      </c>
      <c r="Q396" t="inlineStr">
        <is>
          <t>+442077470125</t>
        </is>
      </c>
    </row>
    <row r="397">
      <c r="A397" t="inlineStr">
        <is>
          <t>557073c673696468a2cc1d00</t>
        </is>
      </c>
      <c r="B397" t="inlineStr">
        <is>
          <t>Elisa Herbert</t>
        </is>
      </c>
      <c r="C397">
        <f>HYPERLINK("http://www.linkedin.com/in/elisa-herbert-23744987")</f>
        <v/>
      </c>
      <c r="D397" t="inlineStr">
        <is>
          <t>eherbert@costar.com</t>
        </is>
      </c>
      <c r="E397" t="inlineStr">
        <is>
          <t>HR Business Partner</t>
        </is>
      </c>
      <c r="F397">
        <f>HYPERLINK("https://app.apollo.io/#/people/557073c673696468a2cc1d00")</f>
        <v/>
      </c>
      <c r="G397" t="inlineStr">
        <is>
          <t>CoStar Group</t>
        </is>
      </c>
      <c r="H397">
        <f>HYPERLINK("https://app.apollo.io/#/accounts/6578be77ccf69c01ae54f373")</f>
        <v/>
      </c>
      <c r="I397">
        <f>HYPERLINK("http://www.costargroup.com/")</f>
        <v/>
      </c>
      <c r="J397">
        <f>HYPERLINK("http://www.linkedin.com/company/costar-group")</f>
        <v/>
      </c>
      <c r="K397">
        <f>HYPERLINK("http://twitter.com/TheCoStarGroup")</f>
        <v/>
      </c>
      <c r="L397">
        <f>HYPERLINK("http://www.facebook.com/CoStarGroup")</f>
        <v/>
      </c>
      <c r="M397" t="inlineStr">
        <is>
          <t>England, United Kingdom</t>
        </is>
      </c>
      <c r="N397" t="inlineStr">
        <is>
          <t>6,300</t>
        </is>
      </c>
      <c r="O397" t="inlineStr">
        <is>
          <t>Commercial Real Estate</t>
        </is>
      </c>
      <c r="P397" t="inlineStr">
        <is>
          <t>information technology,research,marketing</t>
        </is>
      </c>
      <c r="Q397" t="inlineStr">
        <is>
          <t>(202)-346-6500</t>
        </is>
      </c>
    </row>
    <row r="398">
      <c r="A398" t="inlineStr">
        <is>
          <t>64ddf36482062c0001fbe133</t>
        </is>
      </c>
      <c r="B398" t="inlineStr">
        <is>
          <t>Marta Boshnakova</t>
        </is>
      </c>
      <c r="C398">
        <f>HYPERLINK("http://www.linkedin.com/in/marta-boshnakova")</f>
        <v/>
      </c>
      <c r="D398" t="inlineStr">
        <is>
          <t>Not Found</t>
        </is>
      </c>
      <c r="E398" t="inlineStr">
        <is>
          <t>Supplier Partner Contracts Analyst</t>
        </is>
      </c>
      <c r="F398">
        <f>HYPERLINK("https://app.apollo.io/#/people/64ddf36482062c0001fbe133")</f>
        <v/>
      </c>
      <c r="G398" t="inlineStr">
        <is>
          <t>CBRE Global Workplace Solutions (GWS)</t>
        </is>
      </c>
      <c r="H398">
        <f>HYPERLINK("https://app.apollo.io/#/accounts/6509fed6f449800001b69a15")</f>
        <v/>
      </c>
      <c r="I398">
        <f>HYPERLINK("http://www.coor.com/")</f>
        <v/>
      </c>
      <c r="J398">
        <f>HYPERLINK("http://www.linkedin.com/company/cbre-gws")</f>
        <v/>
      </c>
      <c r="K398">
        <f>HYPERLINK("Not Found")</f>
        <v/>
      </c>
      <c r="L398">
        <f>HYPERLINK("Not Found")</f>
        <v/>
      </c>
      <c r="M398" t="inlineStr">
        <is>
          <t>London, United Kingdom</t>
        </is>
      </c>
      <c r="N398" t="inlineStr">
        <is>
          <t>15,000</t>
        </is>
      </c>
      <c r="O398" t="inlineStr">
        <is>
          <t>Commercial Real Estate</t>
        </is>
      </c>
      <c r="P398" t="inlineStr">
        <is>
          <t>project management,advisory,transaction services</t>
        </is>
      </c>
      <c r="Q398" t="inlineStr">
        <is>
          <t>Not Found</t>
        </is>
      </c>
    </row>
    <row r="399">
      <c r="A399" t="inlineStr">
        <is>
          <t>64c7cef46e92d300019d7797</t>
        </is>
      </c>
      <c r="B399" t="inlineStr">
        <is>
          <t>Steve Skeates</t>
        </is>
      </c>
      <c r="C399">
        <f>HYPERLINK("http://www.linkedin.com/in/steveskeatesriwal")</f>
        <v/>
      </c>
      <c r="D399" t="inlineStr">
        <is>
          <t>Not Found</t>
        </is>
      </c>
      <c r="E399" t="inlineStr">
        <is>
          <t>Director</t>
        </is>
      </c>
      <c r="F399">
        <f>HYPERLINK("https://app.apollo.io/#/people/64c7cef46e92d300019d7797")</f>
        <v/>
      </c>
      <c r="G399" t="inlineStr">
        <is>
          <t>Reactive Rentals Limited</t>
        </is>
      </c>
      <c r="H399">
        <f>HYPERLINK("https://app.apollo.io/#/accounts/6578c19b1823b201ae2f2b99")</f>
        <v/>
      </c>
      <c r="I399">
        <f>HYPERLINK("http://www.reactiverentals.co.uk/")</f>
        <v/>
      </c>
      <c r="J399">
        <f>HYPERLINK("http://www.linkedin.com/company/reactive-rentals-limited")</f>
        <v/>
      </c>
      <c r="K399">
        <f>HYPERLINK("Not Found")</f>
        <v/>
      </c>
      <c r="L399">
        <f>HYPERLINK("Not Found")</f>
        <v/>
      </c>
      <c r="M399" t="inlineStr">
        <is>
          <t>Hemel Hempstead, United Kingdom</t>
        </is>
      </c>
      <c r="N399" t="inlineStr">
        <is>
          <t>6</t>
        </is>
      </c>
      <c r="O399" t="inlineStr">
        <is>
          <t>Commercial Real Estate</t>
        </is>
      </c>
      <c r="P399" t="inlineStr">
        <is>
          <t>site support,powered access,international rental</t>
        </is>
      </c>
      <c r="Q399" t="inlineStr">
        <is>
          <t>Not Found</t>
        </is>
      </c>
    </row>
    <row r="400">
      <c r="A400" t="inlineStr">
        <is>
          <t>54a5119a7468693b8c9f497a</t>
        </is>
      </c>
      <c r="B400" t="inlineStr">
        <is>
          <t>Mark Jones</t>
        </is>
      </c>
      <c r="C400">
        <f>HYPERLINK("http://www.linkedin.com/in/markllewelynjones")</f>
        <v/>
      </c>
      <c r="D400" t="inlineStr">
        <is>
          <t>mllewelynjones@vailwilliams.com</t>
        </is>
      </c>
      <c r="E400" t="inlineStr">
        <is>
          <t>Partner, Corporate Real Estate</t>
        </is>
      </c>
      <c r="F400">
        <f>HYPERLINK("https://app.apollo.io/#/people/54a5119a7468693b8c9f497a")</f>
        <v/>
      </c>
      <c r="G400" t="inlineStr">
        <is>
          <t>Vail Williams</t>
        </is>
      </c>
      <c r="H400">
        <f>HYPERLINK("https://app.apollo.io/#/accounts/6578bf02ccf69c02cc54f0ad")</f>
        <v/>
      </c>
      <c r="I400">
        <f>HYPERLINK("http://www.vailwilliams.com/")</f>
        <v/>
      </c>
      <c r="J400">
        <f>HYPERLINK("http://www.linkedin.com/company/vail-williams")</f>
        <v/>
      </c>
      <c r="K400">
        <f>HYPERLINK("https://twitter.com/vailwilliams")</f>
        <v/>
      </c>
      <c r="L400">
        <f>HYPERLINK("https://www.facebook.com/vailwilliams")</f>
        <v/>
      </c>
      <c r="M400" t="inlineStr">
        <is>
          <t>United Kingdom</t>
        </is>
      </c>
      <c r="N400" t="inlineStr">
        <is>
          <t>200</t>
        </is>
      </c>
      <c r="O400" t="inlineStr">
        <is>
          <t>Commercial Real Estate</t>
        </is>
      </c>
      <c r="P400" t="inlineStr">
        <is>
          <t>real estate,real estate agents</t>
        </is>
      </c>
      <c r="Q400" t="inlineStr">
        <is>
          <t>+442035890080</t>
        </is>
      </c>
    </row>
    <row r="401">
      <c r="A401" t="inlineStr">
        <is>
          <t>60c06a152e17c00001d1e1f0</t>
        </is>
      </c>
      <c r="B401" t="inlineStr">
        <is>
          <t>Kathryn Barry</t>
        </is>
      </c>
      <c r="C401">
        <f>HYPERLINK("http://www.linkedin.com/in/kathryn-barry-97182612")</f>
        <v/>
      </c>
      <c r="D401" t="inlineStr">
        <is>
          <t>kathryn.barry@landsec.com</t>
        </is>
      </c>
      <c r="E401" t="inlineStr">
        <is>
          <t>Human Resources Business Partner</t>
        </is>
      </c>
      <c r="F401">
        <f>HYPERLINK("https://app.apollo.io/#/people/60c06a152e17c00001d1e1f0")</f>
        <v/>
      </c>
      <c r="G401" t="inlineStr">
        <is>
          <t>Landsec</t>
        </is>
      </c>
      <c r="H401">
        <f>HYPERLINK("https://app.apollo.io/#/accounts/6578b86a75dc3a02ccc995c8")</f>
        <v/>
      </c>
      <c r="I401">
        <f>HYPERLINK("http://www.landsec.com/")</f>
        <v/>
      </c>
      <c r="J401">
        <f>HYPERLINK("http://www.linkedin.com/company/landsec")</f>
        <v/>
      </c>
      <c r="K401">
        <f>HYPERLINK("https://twitter.com/landsecgroup?lang=en")</f>
        <v/>
      </c>
      <c r="L401">
        <f>HYPERLINK("https://facebook.com/pages/category/Real-Estate-Company/Landsec-Group-335042077050643/")</f>
        <v/>
      </c>
      <c r="M401" t="inlineStr">
        <is>
          <t>London, United Kingdom</t>
        </is>
      </c>
      <c r="N401" t="inlineStr">
        <is>
          <t>860</t>
        </is>
      </c>
      <c r="O401" t="inlineStr">
        <is>
          <t>Commercial Real Estate</t>
        </is>
      </c>
      <c r="P401" t="inlineStr">
        <is>
          <t>property investment,management &amp; development</t>
        </is>
      </c>
      <c r="Q401" t="inlineStr">
        <is>
          <t>+442074139000</t>
        </is>
      </c>
    </row>
    <row r="402">
      <c r="A402" t="inlineStr">
        <is>
          <t>650540f8501f210001dd7d97</t>
        </is>
      </c>
      <c r="B402" t="inlineStr">
        <is>
          <t>Hayley Pither</t>
        </is>
      </c>
      <c r="C402">
        <f>HYPERLINK("http://www.linkedin.com/in/hayleypither")</f>
        <v/>
      </c>
      <c r="D402" t="inlineStr">
        <is>
          <t>hpither@lrg.co.uk</t>
        </is>
      </c>
      <c r="E402" t="inlineStr">
        <is>
          <t>HR Acquisitions Partner</t>
        </is>
      </c>
      <c r="F402">
        <f>HYPERLINK("https://app.apollo.io/#/people/650540f8501f210001dd7d97")</f>
        <v/>
      </c>
      <c r="G402" t="inlineStr">
        <is>
          <t>Leaders Romans Group</t>
        </is>
      </c>
      <c r="H402">
        <f>HYPERLINK("https://app.apollo.io/#/accounts/6578b8bc85cede01ae5c466b")</f>
        <v/>
      </c>
      <c r="I402">
        <f>HYPERLINK("http://www.lrg.co.uk/")</f>
        <v/>
      </c>
      <c r="J402">
        <f>HYPERLINK("http://www.linkedin.com/company/leaders-romans-group")</f>
        <v/>
      </c>
      <c r="K402">
        <f>HYPERLINK("Not Found")</f>
        <v/>
      </c>
      <c r="L402">
        <f>HYPERLINK("Not Found")</f>
        <v/>
      </c>
      <c r="M402" t="inlineStr">
        <is>
          <t>Redditch, United Kingdom</t>
        </is>
      </c>
      <c r="N402" t="inlineStr">
        <is>
          <t>2,600</t>
        </is>
      </c>
      <c r="O402" t="inlineStr">
        <is>
          <t>Commercial Real Estate</t>
        </is>
      </c>
      <c r="P402" t="inlineStr">
        <is>
          <t>estate agency,lettings,property investment</t>
        </is>
      </c>
      <c r="Q402" t="inlineStr">
        <is>
          <t>+441344753230</t>
        </is>
      </c>
    </row>
    <row r="403">
      <c r="A403" t="inlineStr">
        <is>
          <t>5d4d5183a3ae6122e136d182</t>
        </is>
      </c>
      <c r="B403" t="inlineStr">
        <is>
          <t>Valeria Boccasile</t>
        </is>
      </c>
      <c r="C403">
        <f>HYPERLINK("http://www.linkedin.com/in/valeria-boccasile-71864363")</f>
        <v/>
      </c>
      <c r="D403" t="inlineStr">
        <is>
          <t>valeria.boccasile@colliers.com</t>
        </is>
      </c>
      <c r="E403" t="inlineStr">
        <is>
          <t>HR Business Partner</t>
        </is>
      </c>
      <c r="F403">
        <f>HYPERLINK("https://app.apollo.io/#/people/5d4d5183a3ae6122e136d182")</f>
        <v/>
      </c>
      <c r="G403" t="inlineStr">
        <is>
          <t>Colliers</t>
        </is>
      </c>
      <c r="H403">
        <f>HYPERLINK("https://app.apollo.io/#/accounts/64aaf6c63d556a0001e8eda6")</f>
        <v/>
      </c>
      <c r="I403">
        <f>HYPERLINK("http://www.colliers.com/")</f>
        <v/>
      </c>
      <c r="J403">
        <f>HYPERLINK("http://www.linkedin.com/company/colliers")</f>
        <v/>
      </c>
      <c r="K403">
        <f>HYPERLINK("https://twitter.com/Colliers")</f>
        <v/>
      </c>
      <c r="L403">
        <f>HYPERLINK("https://facebook.com/colliersinternational/")</f>
        <v/>
      </c>
      <c r="M403" t="inlineStr">
        <is>
          <t>London, United Kingdom</t>
        </is>
      </c>
      <c r="N403" t="inlineStr">
        <is>
          <t>25,000</t>
        </is>
      </c>
      <c r="O403" t="inlineStr">
        <is>
          <t>Commercial Real Estate</t>
        </is>
      </c>
      <c r="P403" t="inlineStr">
        <is>
          <t>brokerage &amp; agency,corporate solutions</t>
        </is>
      </c>
      <c r="Q403" t="inlineStr">
        <is>
          <t>(702)-727-3783</t>
        </is>
      </c>
    </row>
    <row r="404">
      <c r="A404" t="inlineStr">
        <is>
          <t>6578be532388ae01aec6c39a</t>
        </is>
      </c>
      <c r="B404" t="inlineStr">
        <is>
          <t>Kathy Whitehouse</t>
        </is>
      </c>
      <c r="C404">
        <f>HYPERLINK("http://www.linkedin.com/in/kathy-whitehouse-23baa46b")</f>
        <v/>
      </c>
      <c r="D404" t="inlineStr">
        <is>
          <t>kathy.whitehouse@landsec.com</t>
        </is>
      </c>
      <c r="E404" t="inlineStr">
        <is>
          <t>PA to CEO</t>
        </is>
      </c>
      <c r="F404">
        <f>HYPERLINK("https://app.apollo.io/#/contacts/6578be532388ae01aec6c39a")</f>
        <v/>
      </c>
      <c r="G404" t="inlineStr">
        <is>
          <t>Landsec</t>
        </is>
      </c>
      <c r="H404">
        <f>HYPERLINK("https://app.apollo.io/#/accounts/6578b86a75dc3a02ccc995c8")</f>
        <v/>
      </c>
      <c r="I404">
        <f>HYPERLINK("http://www.landsec.com/")</f>
        <v/>
      </c>
      <c r="J404">
        <f>HYPERLINK("http://www.linkedin.com/company/landsec")</f>
        <v/>
      </c>
      <c r="K404">
        <f>HYPERLINK("https://twitter.com/landsecgroup?lang=en")</f>
        <v/>
      </c>
      <c r="L404">
        <f>HYPERLINK("https://facebook.com/pages/category/Real-Estate-Company/Landsec-Group-335042077050643/")</f>
        <v/>
      </c>
      <c r="M404" t="inlineStr">
        <is>
          <t>England, United Kingdom</t>
        </is>
      </c>
      <c r="N404" t="inlineStr">
        <is>
          <t>860</t>
        </is>
      </c>
      <c r="O404" t="inlineStr">
        <is>
          <t>Commercial Real Estate</t>
        </is>
      </c>
      <c r="P404" t="inlineStr">
        <is>
          <t>property investment,management &amp; development</t>
        </is>
      </c>
      <c r="Q404" t="inlineStr">
        <is>
          <t>+441173027004</t>
        </is>
      </c>
    </row>
    <row r="405">
      <c r="A405" t="inlineStr">
        <is>
          <t>557110597369641ce1fb0e00</t>
        </is>
      </c>
      <c r="B405" t="inlineStr">
        <is>
          <t>Jasmin Gunkar</t>
        </is>
      </c>
      <c r="C405">
        <f>HYPERLINK("http://www.linkedin.com/in/jasmin-gunkar-958a59260")</f>
        <v/>
      </c>
      <c r="D405" t="inlineStr">
        <is>
          <t>Not Found</t>
        </is>
      </c>
      <c r="E405" t="inlineStr">
        <is>
          <t>Supplier Partner Operations Manager</t>
        </is>
      </c>
      <c r="F405">
        <f>HYPERLINK("https://app.apollo.io/#/people/557110597369641ce1fb0e00")</f>
        <v/>
      </c>
      <c r="G405" t="inlineStr">
        <is>
          <t>CBRE Global Workplace Solutions (GWS)</t>
        </is>
      </c>
      <c r="H405">
        <f>HYPERLINK("https://app.apollo.io/#/accounts/6509fed6f449800001b69a15")</f>
        <v/>
      </c>
      <c r="I405">
        <f>HYPERLINK("http://www.coor.com/")</f>
        <v/>
      </c>
      <c r="J405">
        <f>HYPERLINK("http://www.linkedin.com/company/cbre-gws")</f>
        <v/>
      </c>
      <c r="K405">
        <f>HYPERLINK("Not Found")</f>
        <v/>
      </c>
      <c r="L405">
        <f>HYPERLINK("Not Found")</f>
        <v/>
      </c>
      <c r="M405" t="inlineStr">
        <is>
          <t>Kingston upon Thames, United Kingdom</t>
        </is>
      </c>
      <c r="N405" t="inlineStr">
        <is>
          <t>15,000</t>
        </is>
      </c>
      <c r="O405" t="inlineStr">
        <is>
          <t>Commercial Real Estate</t>
        </is>
      </c>
      <c r="P405" t="inlineStr">
        <is>
          <t>project management,advisory,transaction services</t>
        </is>
      </c>
      <c r="Q405" t="inlineStr">
        <is>
          <t>Not Found</t>
        </is>
      </c>
    </row>
    <row r="406">
      <c r="A406" t="inlineStr">
        <is>
          <t>60daf23b235f6d0001f3f85e</t>
        </is>
      </c>
      <c r="B406" t="inlineStr">
        <is>
          <t>Murat Haykir</t>
        </is>
      </c>
      <c r="C406">
        <f>HYPERLINK("http://www.linkedin.com/in/murat-haykir-8a534045")</f>
        <v/>
      </c>
      <c r="D406" t="inlineStr">
        <is>
          <t>Not Found</t>
        </is>
      </c>
      <c r="E406" t="inlineStr">
        <is>
          <t>Director</t>
        </is>
      </c>
      <c r="F406">
        <f>HYPERLINK("https://app.apollo.io/#/people/60daf23b235f6d0001f3f85e")</f>
        <v/>
      </c>
      <c r="G406" t="inlineStr">
        <is>
          <t>KHP Group</t>
        </is>
      </c>
      <c r="H406">
        <f>HYPERLINK("https://app.apollo.io/#/organizations/5b15a00ca6da987143b09e33")</f>
        <v/>
      </c>
      <c r="I406">
        <f>HYPERLINK("http://www.khpgroup.co.uk/")</f>
        <v/>
      </c>
      <c r="J406">
        <f>HYPERLINK("http://www.linkedin.com/company/khp-group")</f>
        <v/>
      </c>
      <c r="K406">
        <f>HYPERLINK("Not Found")</f>
        <v/>
      </c>
      <c r="L406">
        <f>HYPERLINK("https://www.facebook.com/KHPGroupUK/")</f>
        <v/>
      </c>
      <c r="M406" t="inlineStr">
        <is>
          <t>London, United Kingdom</t>
        </is>
      </c>
      <c r="N406" t="inlineStr">
        <is>
          <t>6</t>
        </is>
      </c>
      <c r="O406" t="inlineStr">
        <is>
          <t>Commercial Real Estate</t>
        </is>
      </c>
      <c r="P406" t="inlineStr">
        <is>
          <t>refurbishment,development,historic buildings</t>
        </is>
      </c>
      <c r="Q406" t="inlineStr">
        <is>
          <t>Not Found</t>
        </is>
      </c>
    </row>
    <row r="407">
      <c r="A407" t="inlineStr">
        <is>
          <t>54a3fe0c74686938ac26d923</t>
        </is>
      </c>
      <c r="B407" t="inlineStr">
        <is>
          <t>Steve Oakey</t>
        </is>
      </c>
      <c r="C407">
        <f>HYPERLINK("http://www.linkedin.com/in/steve-oakey-brasierfreeth-valuation")</f>
        <v/>
      </c>
      <c r="D407" t="inlineStr">
        <is>
          <t>steve.oakey@brasierfreeth.com</t>
        </is>
      </c>
      <c r="E407" t="inlineStr">
        <is>
          <t>Partner and Head of Valuation Services</t>
        </is>
      </c>
      <c r="F407">
        <f>HYPERLINK("https://app.apollo.io/#/people/54a3fe0c74686938ac26d923")</f>
        <v/>
      </c>
      <c r="G407" t="inlineStr">
        <is>
          <t>Brasier Freeth</t>
        </is>
      </c>
      <c r="H407">
        <f>HYPERLINK("https://app.apollo.io/#/accounts/6578bf3accf69c02cc54f192")</f>
        <v/>
      </c>
      <c r="I407">
        <f>HYPERLINK("http://www.brasierfreeth.com/")</f>
        <v/>
      </c>
      <c r="J407">
        <f>HYPERLINK("http://www.linkedin.com/company/brasier-freeth-llp")</f>
        <v/>
      </c>
      <c r="K407">
        <f>HYPERLINK("https://twitter.com/brasierfreeth")</f>
        <v/>
      </c>
      <c r="L407">
        <f>HYPERLINK("Not Found")</f>
        <v/>
      </c>
      <c r="M407" t="inlineStr">
        <is>
          <t>Hemel Hempstead, United Kingdom</t>
        </is>
      </c>
      <c r="N407" t="inlineStr">
        <is>
          <t>37</t>
        </is>
      </c>
      <c r="O407" t="inlineStr">
        <is>
          <t>Commercial Real Estate</t>
        </is>
      </c>
      <c r="P407" t="inlineStr">
        <is>
          <t>commercial property acquisitions,disposals</t>
        </is>
      </c>
      <c r="Q407" t="inlineStr">
        <is>
          <t>+441442263033</t>
        </is>
      </c>
    </row>
    <row r="408">
      <c r="A408" t="inlineStr">
        <is>
          <t>651825c5dd0bf200016ced94</t>
        </is>
      </c>
      <c r="B408" t="inlineStr">
        <is>
          <t>Dan Felgate</t>
        </is>
      </c>
      <c r="C408">
        <f>HYPERLINK("http://www.linkedin.com/in/dan-felgate-3453253a")</f>
        <v/>
      </c>
      <c r="D408" t="inlineStr">
        <is>
          <t>dan.felgate@trinovant.co.uk</t>
        </is>
      </c>
      <c r="E408" t="inlineStr">
        <is>
          <t>Director</t>
        </is>
      </c>
      <c r="F408">
        <f>HYPERLINK("https://app.apollo.io/#/people/651825c5dd0bf200016ced94")</f>
        <v/>
      </c>
      <c r="G408" t="inlineStr">
        <is>
          <t>Trinovant Surveyors Limited</t>
        </is>
      </c>
      <c r="H408">
        <f>HYPERLINK("https://app.apollo.io/#/organizations/5fc8f87798301800018a248f")</f>
        <v/>
      </c>
      <c r="I408">
        <f>HYPERLINK("http://www.trinovant.co.uk/")</f>
        <v/>
      </c>
      <c r="J408">
        <f>HYPERLINK("http://www.linkedin.com/company/trinovant-surveyors-limited")</f>
        <v/>
      </c>
      <c r="K408">
        <f>HYPERLINK("Not Found")</f>
        <v/>
      </c>
      <c r="L408">
        <f>HYPERLINK("Not Found")</f>
        <v/>
      </c>
      <c r="M408" t="inlineStr">
        <is>
          <t>United Kingdom</t>
        </is>
      </c>
      <c r="N408" t="inlineStr">
        <is>
          <t>6</t>
        </is>
      </c>
      <c r="O408" t="inlineStr">
        <is>
          <t>Commercial Real Estate</t>
        </is>
      </c>
      <c r="P408" t="inlineStr">
        <is>
          <t>contract administration,preacquisition surveys</t>
        </is>
      </c>
      <c r="Q408" t="inlineStr">
        <is>
          <t>+448443321232</t>
        </is>
      </c>
    </row>
    <row r="409">
      <c r="A409" t="inlineStr">
        <is>
          <t>600ee19e8c9cd20001187cb5</t>
        </is>
      </c>
      <c r="B409" t="inlineStr">
        <is>
          <t>Lennon Compton</t>
        </is>
      </c>
      <c r="C409">
        <f>HYPERLINK("http://www.linkedin.com/in/lennon-compton-68666b1a9")</f>
        <v/>
      </c>
      <c r="D409" t="inlineStr">
        <is>
          <t>lennon@tankers-r-us.com</t>
        </is>
      </c>
      <c r="E409" t="inlineStr">
        <is>
          <t>Director</t>
        </is>
      </c>
      <c r="F409">
        <f>HYPERLINK("https://app.apollo.io/#/people/600ee19e8c9cd20001187cb5")</f>
        <v/>
      </c>
      <c r="G409" t="inlineStr">
        <is>
          <t>Tanker Rent UK Ltd</t>
        </is>
      </c>
      <c r="H409">
        <f>HYPERLINK("https://app.apollo.io/#/organizations/63b9a722d0652400016c1016")</f>
        <v/>
      </c>
      <c r="I409">
        <f>HYPERLINK("http://www.tankers-r-us.com/")</f>
        <v/>
      </c>
      <c r="J409">
        <f>HYPERLINK("http://www.linkedin.com/company/tanker-rent-uk-ltd")</f>
        <v/>
      </c>
      <c r="K409">
        <f>HYPERLINK("Not Found")</f>
        <v/>
      </c>
      <c r="L409">
        <f>HYPERLINK("Not Found")</f>
        <v/>
      </c>
      <c r="M409" t="inlineStr">
        <is>
          <t>Leighton Buzzard, United Kingdom</t>
        </is>
      </c>
      <c r="N409" t="inlineStr">
        <is>
          <t>1</t>
        </is>
      </c>
      <c r="O409" t="inlineStr">
        <is>
          <t>Commercial Real Estate</t>
        </is>
      </c>
      <c r="P409" t="inlineStr">
        <is>
          <t>reliable,friendly familyrun business</t>
        </is>
      </c>
      <c r="Q409" t="inlineStr">
        <is>
          <t>+441525371707</t>
        </is>
      </c>
    </row>
    <row r="410">
      <c r="A410" t="inlineStr">
        <is>
          <t>6517cbc7ece63e00015b1ac4</t>
        </is>
      </c>
      <c r="B410" t="inlineStr">
        <is>
          <t>Gemma Hall</t>
        </is>
      </c>
      <c r="C410">
        <f>HYPERLINK("http://www.linkedin.com/in/gemma-hall-3978589a")</f>
        <v/>
      </c>
      <c r="D410" t="inlineStr">
        <is>
          <t>ghall@lrg.co.uk</t>
        </is>
      </c>
      <c r="E410" t="inlineStr">
        <is>
          <t>Client Finance Banking Partner</t>
        </is>
      </c>
      <c r="F410">
        <f>HYPERLINK("https://app.apollo.io/#/people/6517cbc7ece63e00015b1ac4")</f>
        <v/>
      </c>
      <c r="G410" t="inlineStr">
        <is>
          <t>Leaders Romans Group</t>
        </is>
      </c>
      <c r="H410">
        <f>HYPERLINK("https://app.apollo.io/#/accounts/6578b8bc85cede01ae5c466b")</f>
        <v/>
      </c>
      <c r="I410">
        <f>HYPERLINK("http://www.lrg.co.uk/")</f>
        <v/>
      </c>
      <c r="J410">
        <f>HYPERLINK("http://www.linkedin.com/company/leaders-romans-group")</f>
        <v/>
      </c>
      <c r="K410">
        <f>HYPERLINK("Not Found")</f>
        <v/>
      </c>
      <c r="L410">
        <f>HYPERLINK("Not Found")</f>
        <v/>
      </c>
      <c r="M410" t="inlineStr">
        <is>
          <t>Wokingham, United Kingdom</t>
        </is>
      </c>
      <c r="N410" t="inlineStr">
        <is>
          <t>2,600</t>
        </is>
      </c>
      <c r="O410" t="inlineStr">
        <is>
          <t>Commercial Real Estate</t>
        </is>
      </c>
      <c r="P410" t="inlineStr">
        <is>
          <t>estate agency,lettings,property investment</t>
        </is>
      </c>
      <c r="Q410" t="inlineStr">
        <is>
          <t>+441344753230</t>
        </is>
      </c>
    </row>
    <row r="411">
      <c r="A411" t="inlineStr">
        <is>
          <t>5add578ea6da984ce79087d7</t>
        </is>
      </c>
      <c r="B411" t="inlineStr">
        <is>
          <t>Peter Wilson</t>
        </is>
      </c>
      <c r="C411">
        <f>HYPERLINK("http://www.linkedin.com/in/peter-wilson-08521515")</f>
        <v/>
      </c>
      <c r="D411" t="inlineStr">
        <is>
          <t>peter.wilson@kirkbydiamond.co.uk</t>
        </is>
      </c>
      <c r="E411" t="inlineStr">
        <is>
          <t>Formerly Commercial Property Partner</t>
        </is>
      </c>
      <c r="F411">
        <f>HYPERLINK("https://app.apollo.io/#/people/5add578ea6da984ce79087d7")</f>
        <v/>
      </c>
      <c r="G411" t="inlineStr">
        <is>
          <t>Kirkby Diamond</t>
        </is>
      </c>
      <c r="H411">
        <f>HYPERLINK("https://app.apollo.io/#/organizations/54a1274769702dc128b51d00")</f>
        <v/>
      </c>
      <c r="I411">
        <f>HYPERLINK("http://www.kirkbydiamond.co.uk/")</f>
        <v/>
      </c>
      <c r="J411">
        <f>HYPERLINK("http://www.linkedin.com/company/kirkby-and-diamond")</f>
        <v/>
      </c>
      <c r="K411">
        <f>HYPERLINK("https://twitter.com/KirkbyDiamond")</f>
        <v/>
      </c>
      <c r="L411">
        <f>HYPERLINK("https://www.facebook.com/kirkbydiamond")</f>
        <v/>
      </c>
      <c r="M411" t="inlineStr">
        <is>
          <t>Stony Stratford, United Kingdom</t>
        </is>
      </c>
      <c r="N411" t="inlineStr">
        <is>
          <t>57</t>
        </is>
      </c>
      <c r="O411" t="inlineStr">
        <is>
          <t>Commercial Real Estate</t>
        </is>
      </c>
      <c r="P411" t="inlineStr">
        <is>
          <t>commercial property services,residential property services</t>
        </is>
      </c>
      <c r="Q411" t="inlineStr">
        <is>
          <t>+441582738866</t>
        </is>
      </c>
    </row>
    <row r="412">
      <c r="A412" t="inlineStr">
        <is>
          <t>64de07c82695420001661c2f</t>
        </is>
      </c>
      <c r="B412" t="inlineStr">
        <is>
          <t>Ivan Foong</t>
        </is>
      </c>
      <c r="C412">
        <f>HYPERLINK("http://www.linkedin.com/in/ivan-foong-fcpa-1997b368")</f>
        <v/>
      </c>
      <c r="D412" t="inlineStr">
        <is>
          <t>ivan.foong@landsec.com</t>
        </is>
      </c>
      <c r="E412" t="inlineStr">
        <is>
          <t>Commercial Finance (Business Partner)</t>
        </is>
      </c>
      <c r="F412">
        <f>HYPERLINK("https://app.apollo.io/#/people/64de07c82695420001661c2f")</f>
        <v/>
      </c>
      <c r="G412" t="inlineStr">
        <is>
          <t>Landsec</t>
        </is>
      </c>
      <c r="H412">
        <f>HYPERLINK("https://app.apollo.io/#/accounts/6578b86a75dc3a02ccc995c8")</f>
        <v/>
      </c>
      <c r="I412">
        <f>HYPERLINK("http://www.landsec.com/")</f>
        <v/>
      </c>
      <c r="J412">
        <f>HYPERLINK("http://www.linkedin.com/company/landsec")</f>
        <v/>
      </c>
      <c r="K412">
        <f>HYPERLINK("https://twitter.com/landsecgroup?lang=en")</f>
        <v/>
      </c>
      <c r="L412">
        <f>HYPERLINK("https://facebook.com/pages/category/Real-Estate-Company/Landsec-Group-335042077050643/")</f>
        <v/>
      </c>
      <c r="M412" t="inlineStr">
        <is>
          <t>London, United Kingdom</t>
        </is>
      </c>
      <c r="N412" t="inlineStr">
        <is>
          <t>860</t>
        </is>
      </c>
      <c r="O412" t="inlineStr">
        <is>
          <t>Commercial Real Estate</t>
        </is>
      </c>
      <c r="P412" t="inlineStr">
        <is>
          <t>property investment,management &amp; development</t>
        </is>
      </c>
      <c r="Q412" t="inlineStr">
        <is>
          <t>+442074139000</t>
        </is>
      </c>
    </row>
    <row r="413">
      <c r="A413" t="inlineStr">
        <is>
          <t>5571476c7369645318ad3200</t>
        </is>
      </c>
      <c r="B413" t="inlineStr">
        <is>
          <t>Paul Arthur</t>
        </is>
      </c>
      <c r="C413">
        <f>HYPERLINK("http://www.linkedin.com/in/plarthur")</f>
        <v/>
      </c>
      <c r="D413" t="inlineStr">
        <is>
          <t>paularthur@paragonbc.co.uk</t>
        </is>
      </c>
      <c r="E413" t="inlineStr">
        <is>
          <t>Director</t>
        </is>
      </c>
      <c r="F413">
        <f>HYPERLINK("https://app.apollo.io/#/people/5571476c7369645318ad3200")</f>
        <v/>
      </c>
      <c r="G413" t="inlineStr">
        <is>
          <t>Colliers</t>
        </is>
      </c>
      <c r="H413">
        <f>HYPERLINK("https://app.apollo.io/#/accounts/64aaf6c63d556a0001e8eda6")</f>
        <v/>
      </c>
      <c r="I413">
        <f>HYPERLINK("http://www.colliers.com/")</f>
        <v/>
      </c>
      <c r="J413">
        <f>HYPERLINK("http://www.linkedin.com/company/colliers")</f>
        <v/>
      </c>
      <c r="K413">
        <f>HYPERLINK("https://twitter.com/Colliers")</f>
        <v/>
      </c>
      <c r="L413">
        <f>HYPERLINK("https://facebook.com/colliersinternational/")</f>
        <v/>
      </c>
      <c r="M413" t="inlineStr">
        <is>
          <t>United Kingdom</t>
        </is>
      </c>
      <c r="N413" t="inlineStr">
        <is>
          <t>25,000</t>
        </is>
      </c>
      <c r="O413" t="inlineStr">
        <is>
          <t>Commercial Real Estate</t>
        </is>
      </c>
      <c r="P413" t="inlineStr">
        <is>
          <t>brokerage &amp; agency,corporate solutions</t>
        </is>
      </c>
      <c r="Q413" t="inlineStr">
        <is>
          <t>(702)-727-3783</t>
        </is>
      </c>
    </row>
    <row r="414">
      <c r="A414" t="inlineStr">
        <is>
          <t>5c0f991af651253d3398d3c3</t>
        </is>
      </c>
      <c r="B414" t="inlineStr">
        <is>
          <t>Max Broadbent</t>
        </is>
      </c>
      <c r="C414">
        <f>HYPERLINK("http://www.linkedin.com/in/max-broadbent-57b23121")</f>
        <v/>
      </c>
      <c r="D414" t="inlineStr">
        <is>
          <t>max.broadbent@colliers.com</t>
        </is>
      </c>
      <c r="E414" t="inlineStr">
        <is>
          <t>Director</t>
        </is>
      </c>
      <c r="F414">
        <f>HYPERLINK("https://app.apollo.io/#/people/5c0f991af651253d3398d3c3")</f>
        <v/>
      </c>
      <c r="G414" t="inlineStr">
        <is>
          <t>Colliers</t>
        </is>
      </c>
      <c r="H414">
        <f>HYPERLINK("https://app.apollo.io/#/accounts/64aaf6c63d556a0001e8eda6")</f>
        <v/>
      </c>
      <c r="I414">
        <f>HYPERLINK("http://www.colliers.com/")</f>
        <v/>
      </c>
      <c r="J414">
        <f>HYPERLINK("http://www.linkedin.com/company/colliers")</f>
        <v/>
      </c>
      <c r="K414">
        <f>HYPERLINK("https://twitter.com/Colliers")</f>
        <v/>
      </c>
      <c r="L414">
        <f>HYPERLINK("https://facebook.com/colliersinternational/")</f>
        <v/>
      </c>
      <c r="M414" t="inlineStr">
        <is>
          <t>London, United Kingdom</t>
        </is>
      </c>
      <c r="N414" t="inlineStr">
        <is>
          <t>25,000</t>
        </is>
      </c>
      <c r="O414" t="inlineStr">
        <is>
          <t>Commercial Real Estate</t>
        </is>
      </c>
      <c r="P414" t="inlineStr">
        <is>
          <t>brokerage &amp; agency,corporate solutions</t>
        </is>
      </c>
      <c r="Q414" t="inlineStr">
        <is>
          <t>(702)-727-3783</t>
        </is>
      </c>
    </row>
    <row r="415">
      <c r="A415" t="inlineStr">
        <is>
          <t>54c1628b7468697af707b105</t>
        </is>
      </c>
      <c r="B415" t="inlineStr">
        <is>
          <t>Emily Bradshaw</t>
        </is>
      </c>
      <c r="C415">
        <f>HYPERLINK("http://www.linkedin.com/in/emily-bradshaw-8baa2731")</f>
        <v/>
      </c>
      <c r="D415" t="inlineStr">
        <is>
          <t>emilybradshaw@paragonbc.co.uk</t>
        </is>
      </c>
      <c r="E415" t="inlineStr">
        <is>
          <t>Director</t>
        </is>
      </c>
      <c r="F415">
        <f>HYPERLINK("https://app.apollo.io/#/people/54c1628b7468697af707b105")</f>
        <v/>
      </c>
      <c r="G415" t="inlineStr">
        <is>
          <t>Colliers</t>
        </is>
      </c>
      <c r="H415">
        <f>HYPERLINK("https://app.apollo.io/#/accounts/64aaf6c63d556a0001e8eda6")</f>
        <v/>
      </c>
      <c r="I415">
        <f>HYPERLINK("http://www.colliers.com/")</f>
        <v/>
      </c>
      <c r="J415">
        <f>HYPERLINK("http://www.linkedin.com/company/colliers")</f>
        <v/>
      </c>
      <c r="K415">
        <f>HYPERLINK("https://twitter.com/Colliers")</f>
        <v/>
      </c>
      <c r="L415">
        <f>HYPERLINK("https://facebook.com/colliersinternational/")</f>
        <v/>
      </c>
      <c r="M415" t="inlineStr">
        <is>
          <t>Hemel Hempstead, United Kingdom</t>
        </is>
      </c>
      <c r="N415" t="inlineStr">
        <is>
          <t>25,000</t>
        </is>
      </c>
      <c r="O415" t="inlineStr">
        <is>
          <t>Commercial Real Estate</t>
        </is>
      </c>
      <c r="P415" t="inlineStr">
        <is>
          <t>brokerage &amp; agency,corporate solutions</t>
        </is>
      </c>
      <c r="Q415" t="inlineStr">
        <is>
          <t>(702)-727-3783</t>
        </is>
      </c>
    </row>
    <row r="416">
      <c r="A416" t="inlineStr">
        <is>
          <t>5571490f73696458c1123300</t>
        </is>
      </c>
      <c r="B416" t="inlineStr">
        <is>
          <t>Llion Williams</t>
        </is>
      </c>
      <c r="C416">
        <f>HYPERLINK("http://www.linkedin.com/in/llion-williams-a4230367")</f>
        <v/>
      </c>
      <c r="D416" t="inlineStr">
        <is>
          <t>llion.williams@edgeps.co.uk</t>
        </is>
      </c>
      <c r="E416" t="inlineStr">
        <is>
          <t>Director</t>
        </is>
      </c>
      <c r="F416">
        <f>HYPERLINK("https://app.apollo.io/#/people/5571490f73696458c1123300")</f>
        <v/>
      </c>
      <c r="G416" t="inlineStr">
        <is>
          <t>EDGE</t>
        </is>
      </c>
      <c r="H416">
        <f>HYPERLINK("https://app.apollo.io/#/organizations/5f4a8fd85c325c0001a88e6f")</f>
        <v/>
      </c>
      <c r="I416">
        <f>HYPERLINK("http://www.edgeps.co.uk/")</f>
        <v/>
      </c>
      <c r="J416">
        <f>HYPERLINK("http://www.linkedin.com/company/edge-ps-limited")</f>
        <v/>
      </c>
      <c r="K416">
        <f>HYPERLINK("https://twitter.com/Edgeps_")</f>
        <v/>
      </c>
      <c r="L416">
        <f>HYPERLINK("Not Found")</f>
        <v/>
      </c>
      <c r="M416" t="inlineStr">
        <is>
          <t>Sheffield, United Kingdom</t>
        </is>
      </c>
      <c r="N416" t="inlineStr">
        <is>
          <t>130</t>
        </is>
      </c>
      <c r="O416" t="inlineStr">
        <is>
          <t>Construction</t>
        </is>
      </c>
      <c r="P416" t="inlineStr">
        <is>
          <t>cost management,quantity surveying</t>
        </is>
      </c>
      <c r="Q416" t="inlineStr">
        <is>
          <t>+441159500231</t>
        </is>
      </c>
    </row>
    <row r="417">
      <c r="A417" t="inlineStr">
        <is>
          <t>54a4b3137468693b8c8a1f5c</t>
        </is>
      </c>
      <c r="B417" t="inlineStr">
        <is>
          <t>David Tobin</t>
        </is>
      </c>
      <c r="C417">
        <f>HYPERLINK("http://www.linkedin.com/in/david-tobin-1983aa15")</f>
        <v/>
      </c>
      <c r="D417" t="inlineStr">
        <is>
          <t>dtobin@daval-construct.com</t>
        </is>
      </c>
      <c r="E417" t="inlineStr">
        <is>
          <t>Director</t>
        </is>
      </c>
      <c r="F417">
        <f>HYPERLINK("https://app.apollo.io/#/people/54a4b3137468693b8c8a1f5c")</f>
        <v/>
      </c>
      <c r="G417" t="inlineStr">
        <is>
          <t>Daval Construction Ltd.</t>
        </is>
      </c>
      <c r="H417">
        <f>HYPERLINK("https://app.apollo.io/#/organizations/5d0a1b4ba3ae61aa5102fd99")</f>
        <v/>
      </c>
      <c r="I417">
        <f>HYPERLINK("http://www.daval-construct.com/")</f>
        <v/>
      </c>
      <c r="J417">
        <f>HYPERLINK("http://www.linkedin.com/company/davalconstruction")</f>
        <v/>
      </c>
      <c r="K417">
        <f>HYPERLINK("Not Found")</f>
        <v/>
      </c>
      <c r="L417">
        <f>HYPERLINK("Not Found")</f>
        <v/>
      </c>
      <c r="M417" t="inlineStr">
        <is>
          <t>London, United Kingdom</t>
        </is>
      </c>
      <c r="N417" t="inlineStr">
        <is>
          <t>17</t>
        </is>
      </c>
      <c r="O417" t="inlineStr">
        <is>
          <t>Commercial Real Estate</t>
        </is>
      </c>
      <c r="Q417" t="inlineStr">
        <is>
          <t>+442083811307</t>
        </is>
      </c>
    </row>
    <row r="418">
      <c r="A418" t="inlineStr">
        <is>
          <t>6578beb3ccf69c03ea54eb88</t>
        </is>
      </c>
      <c r="B418" t="inlineStr">
        <is>
          <t>Philip Ellis</t>
        </is>
      </c>
      <c r="C418">
        <f>HYPERLINK("http://www.linkedin.com/in/philellis10")</f>
        <v/>
      </c>
      <c r="D418" t="inlineStr">
        <is>
          <t>phil@techspace.co</t>
        </is>
      </c>
      <c r="E418" t="inlineStr">
        <is>
          <t>Co-founder and Marketing Director</t>
        </is>
      </c>
      <c r="F418">
        <f>HYPERLINK("https://app.apollo.io/#/contacts/6578beb3ccf69c03ea54eb88")</f>
        <v/>
      </c>
      <c r="G418" t="inlineStr">
        <is>
          <t>Techspace</t>
        </is>
      </c>
      <c r="H418">
        <f>HYPERLINK("https://app.apollo.io/#/accounts/6578bc3df8c62e01aef7c2bf")</f>
        <v/>
      </c>
      <c r="I418">
        <f>HYPERLINK("http://www.techspace.co/")</f>
        <v/>
      </c>
      <c r="J418">
        <f>HYPERLINK("http://www.linkedin.com/company/techspace-co")</f>
        <v/>
      </c>
      <c r="K418">
        <f>HYPERLINK("https://twitter.com/techspaceco")</f>
        <v/>
      </c>
      <c r="L418">
        <f>HYPERLINK("http://www.facebook.com/techspaceco")</f>
        <v/>
      </c>
      <c r="M418" t="inlineStr">
        <is>
          <t>London, United Kingdom</t>
        </is>
      </c>
      <c r="N418" t="inlineStr">
        <is>
          <t>56</t>
        </is>
      </c>
      <c r="O418" t="inlineStr">
        <is>
          <t>Commercial Real Estate</t>
        </is>
      </c>
      <c r="P418" t="inlineStr">
        <is>
          <t>startups,real estate,coworking,office space</t>
        </is>
      </c>
      <c r="Q418" t="inlineStr">
        <is>
          <t>+447940875283</t>
        </is>
      </c>
    </row>
    <row r="419">
      <c r="A419" t="inlineStr">
        <is>
          <t>622c3fc15e6e9300014627b8</t>
        </is>
      </c>
      <c r="B419" t="inlineStr">
        <is>
          <t>Matt Grainger</t>
        </is>
      </c>
      <c r="C419">
        <f>HYPERLINK("http://www.linkedin.com/in/matt-grainger-50665538")</f>
        <v/>
      </c>
      <c r="D419" t="inlineStr">
        <is>
          <t>matt@colmorecapital.co.uk</t>
        </is>
      </c>
      <c r="E419" t="inlineStr">
        <is>
          <t>Director</t>
        </is>
      </c>
      <c r="F419">
        <f>HYPERLINK("https://app.apollo.io/#/people/622c3fc15e6e9300014627b8")</f>
        <v/>
      </c>
      <c r="G419" t="inlineStr">
        <is>
          <t>Colmore Capital</t>
        </is>
      </c>
      <c r="H419">
        <f>HYPERLINK("https://app.apollo.io/#/organizations/5e561b6aeff174000126eb5e")</f>
        <v/>
      </c>
      <c r="I419">
        <f>HYPERLINK("http://www.colmorecapital.co.uk/")</f>
        <v/>
      </c>
      <c r="J419">
        <f>HYPERLINK("http://www.linkedin.com/company/colmore-capital-limited")</f>
        <v/>
      </c>
      <c r="K419">
        <f>HYPERLINK("Not Found")</f>
        <v/>
      </c>
      <c r="L419">
        <f>HYPERLINK("Not Found")</f>
        <v/>
      </c>
      <c r="M419" t="inlineStr">
        <is>
          <t>Birmingham, United Kingdom</t>
        </is>
      </c>
      <c r="N419" t="inlineStr">
        <is>
          <t>5</t>
        </is>
      </c>
      <c r="O419" t="inlineStr">
        <is>
          <t>Commercial Real Estate</t>
        </is>
      </c>
      <c r="Q419" t="inlineStr">
        <is>
          <t>+441212366995</t>
        </is>
      </c>
    </row>
    <row r="420">
      <c r="A420" t="inlineStr">
        <is>
          <t>5e98ac9c06dcf00001150359</t>
        </is>
      </c>
      <c r="B420" t="inlineStr">
        <is>
          <t>Sean Dooley</t>
        </is>
      </c>
      <c r="C420">
        <f>HYPERLINK("http://www.linkedin.com/in/sean-dooley-432ba797")</f>
        <v/>
      </c>
      <c r="D420" t="inlineStr">
        <is>
          <t>sd@reesa.com</t>
        </is>
      </c>
      <c r="E420" t="inlineStr">
        <is>
          <t>Director</t>
        </is>
      </c>
      <c r="F420">
        <f>HYPERLINK("https://app.apollo.io/#/people/5e98ac9c06dcf00001150359")</f>
        <v/>
      </c>
      <c r="G420" t="inlineStr">
        <is>
          <t>REESA</t>
        </is>
      </c>
      <c r="H420">
        <f>HYPERLINK("https://app.apollo.io/#/organizations/5efdcab437d36500da81d534")</f>
        <v/>
      </c>
      <c r="I420">
        <f>HYPERLINK("http://www.reesa.com/")</f>
        <v/>
      </c>
      <c r="J420">
        <f>HYPERLINK("http://www.linkedin.com/company/reesa-property-and-people")</f>
        <v/>
      </c>
      <c r="K420">
        <f>HYPERLINK("Not Found")</f>
        <v/>
      </c>
      <c r="L420">
        <f>HYPERLINK("Not Found")</f>
        <v/>
      </c>
      <c r="M420" t="inlineStr">
        <is>
          <t>London, United Kingdom</t>
        </is>
      </c>
      <c r="N420" t="inlineStr">
        <is>
          <t>5</t>
        </is>
      </c>
      <c r="O420" t="inlineStr">
        <is>
          <t>Commercial Real Estate</t>
        </is>
      </c>
      <c r="P420" t="inlineStr">
        <is>
          <t>commercial real estate,coworking</t>
        </is>
      </c>
      <c r="Q420" t="inlineStr">
        <is>
          <t>+442034343860</t>
        </is>
      </c>
    </row>
    <row r="421">
      <c r="A421" t="inlineStr">
        <is>
          <t>5acff0f5a6da98d1ade8f22d</t>
        </is>
      </c>
      <c r="B421" t="inlineStr">
        <is>
          <t>Ryan Davidson</t>
        </is>
      </c>
      <c r="C421">
        <f>HYPERLINK("http://www.linkedin.com/in/ryan-davidson-01483825")</f>
        <v/>
      </c>
      <c r="D421" t="inlineStr">
        <is>
          <t>ryan@innesbc.com</t>
        </is>
      </c>
      <c r="E421" t="inlineStr">
        <is>
          <t>Director</t>
        </is>
      </c>
      <c r="F421">
        <f>HYPERLINK("https://app.apollo.io/#/people/5acff0f5a6da98d1ade8f22d")</f>
        <v/>
      </c>
      <c r="G421" t="inlineStr">
        <is>
          <t>Innes Building Consultancy</t>
        </is>
      </c>
      <c r="H421">
        <f>HYPERLINK("https://app.apollo.io/#/organizations/5a9e6685a6da98d966452877")</f>
        <v/>
      </c>
      <c r="I421">
        <f>HYPERLINK("http://www.innesbc.com/")</f>
        <v/>
      </c>
      <c r="J421">
        <f>HYPERLINK("http://www.linkedin.com/company/innes-associates-building-consultancy")</f>
        <v/>
      </c>
      <c r="K421">
        <f>HYPERLINK("Not Found")</f>
        <v/>
      </c>
      <c r="L421">
        <f>HYPERLINK("Not Found")</f>
        <v/>
      </c>
      <c r="M421" t="inlineStr">
        <is>
          <t>Edinburgh, United Kingdom</t>
        </is>
      </c>
      <c r="N421" t="inlineStr">
        <is>
          <t>8</t>
        </is>
      </c>
      <c r="O421" t="inlineStr">
        <is>
          <t>Commercial Real Estate</t>
        </is>
      </c>
      <c r="P421" t="inlineStr">
        <is>
          <t>project &amp; relocation management</t>
        </is>
      </c>
      <c r="Q421" t="inlineStr">
        <is>
          <t>+447834767350</t>
        </is>
      </c>
    </row>
    <row r="422">
      <c r="A422" t="inlineStr">
        <is>
          <t>5b2d386ba6da9889726b1ffd</t>
        </is>
      </c>
      <c r="B422" t="inlineStr">
        <is>
          <t>Steve Phillips</t>
        </is>
      </c>
      <c r="C422">
        <f>HYPERLINK("http://www.linkedin.com/in/steve-phillips-b922783b")</f>
        <v/>
      </c>
      <c r="D422" t="inlineStr">
        <is>
          <t>sphillips@thecompactgroup.com</t>
        </is>
      </c>
      <c r="E422" t="inlineStr">
        <is>
          <t>Director</t>
        </is>
      </c>
      <c r="F422">
        <f>HYPERLINK("https://app.apollo.io/#/people/5b2d386ba6da9889726b1ffd")</f>
        <v/>
      </c>
      <c r="G422" t="inlineStr">
        <is>
          <t>Compact Fork Trucks</t>
        </is>
      </c>
      <c r="H422">
        <f>HYPERLINK("https://app.apollo.io/#/organizations/5e55f73507939b0001df6ce7")</f>
        <v/>
      </c>
      <c r="I422">
        <f>HYPERLINK("http://www.compactforktrucks.co.uk/")</f>
        <v/>
      </c>
      <c r="J422">
        <f>HYPERLINK("http://www.linkedin.com/company/compact-fork-trucks-limited")</f>
        <v/>
      </c>
      <c r="K422">
        <f>HYPERLINK("https://twitter.com/compactflt")</f>
        <v/>
      </c>
      <c r="L422">
        <f>HYPERLINK("https://www.facebook.com/pg/compactforktrucks/")</f>
        <v/>
      </c>
      <c r="M422" t="inlineStr">
        <is>
          <t>Dudley, United Kingdom</t>
        </is>
      </c>
      <c r="N422" t="inlineStr">
        <is>
          <t>15</t>
        </is>
      </c>
      <c r="O422" t="inlineStr">
        <is>
          <t>Commercial Real Estate</t>
        </is>
      </c>
      <c r="P422" t="inlineStr">
        <is>
          <t>spare parts,service,warehouse equipment</t>
        </is>
      </c>
      <c r="Q422" t="inlineStr">
        <is>
          <t>+441384238000</t>
        </is>
      </c>
    </row>
    <row r="423">
      <c r="A423" t="inlineStr">
        <is>
          <t>54a2f8fb7468693825b8254b</t>
        </is>
      </c>
      <c r="B423" t="inlineStr">
        <is>
          <t>Dominic Brown</t>
        </is>
      </c>
      <c r="C423">
        <f>HYPERLINK("http://www.linkedin.com/in/dominic-brown-3a506398")</f>
        <v/>
      </c>
      <c r="D423" t="inlineStr">
        <is>
          <t>Not Found</t>
        </is>
      </c>
      <c r="E423" t="inlineStr">
        <is>
          <t>Director</t>
        </is>
      </c>
      <c r="F423">
        <f>HYPERLINK("https://app.apollo.io/#/people/54a2f8fb7468693825b8254b")</f>
        <v/>
      </c>
      <c r="G423" t="inlineStr">
        <is>
          <t>Robertson Brown</t>
        </is>
      </c>
      <c r="H423">
        <f>HYPERLINK("https://app.apollo.io/#/organizations/54a129ae69702d979c12ca01")</f>
        <v/>
      </c>
      <c r="I423">
        <f>HYPERLINK("http://www.robertsonbrownltd.com/")</f>
        <v/>
      </c>
      <c r="J423">
        <f>HYPERLINK("http://www.linkedin.com/company/robertson-brown")</f>
        <v/>
      </c>
      <c r="K423">
        <f>HYPERLINK("https://twitter.com/robertson_brown")</f>
        <v/>
      </c>
      <c r="L423">
        <f>HYPERLINK("https://facebook.com/pages/Robertson-Brown/420636677994396")</f>
        <v/>
      </c>
      <c r="M423" t="inlineStr">
        <is>
          <t>England, United Kingdom</t>
        </is>
      </c>
      <c r="N423" t="inlineStr">
        <is>
          <t>5</t>
        </is>
      </c>
      <c r="O423" t="inlineStr">
        <is>
          <t>Commercial Real Estate</t>
        </is>
      </c>
      <c r="P423" t="inlineStr">
        <is>
          <t>commercial real estate,retail agency</t>
        </is>
      </c>
      <c r="Q423" t="inlineStr">
        <is>
          <t>Not Found</t>
        </is>
      </c>
    </row>
    <row r="424">
      <c r="A424" t="inlineStr">
        <is>
          <t>557107d973696403ab3a0000</t>
        </is>
      </c>
      <c r="B424" t="inlineStr">
        <is>
          <t>William Gray</t>
        </is>
      </c>
      <c r="C424">
        <f>HYPERLINK("http://www.linkedin.com/in/william-gray-90b21ab0")</f>
        <v/>
      </c>
      <c r="D424" t="inlineStr">
        <is>
          <t>wgray@arkestates.co.uk</t>
        </is>
      </c>
      <c r="E424" t="inlineStr">
        <is>
          <t>Director</t>
        </is>
      </c>
      <c r="F424">
        <f>HYPERLINK("https://app.apollo.io/#/people/557107d973696403ab3a0000")</f>
        <v/>
      </c>
      <c r="G424" t="inlineStr">
        <is>
          <t>Ark Estates</t>
        </is>
      </c>
      <c r="H424">
        <f>HYPERLINK("https://app.apollo.io/#/organizations/5db127aed5f8c70001dc8ee3")</f>
        <v/>
      </c>
      <c r="I424">
        <f>HYPERLINK("http://www.arkestates.co.uk/")</f>
        <v/>
      </c>
      <c r="J424">
        <f>HYPERLINK("http://www.linkedin.com/company/ark-estates")</f>
        <v/>
      </c>
      <c r="K424">
        <f>HYPERLINK("Not Found")</f>
        <v/>
      </c>
      <c r="L424">
        <f>HYPERLINK("Not Found")</f>
        <v/>
      </c>
      <c r="M424" t="inlineStr">
        <is>
          <t>Inverness, United Kingdom</t>
        </is>
      </c>
      <c r="N424" t="inlineStr">
        <is>
          <t>12</t>
        </is>
      </c>
      <c r="O424" t="inlineStr">
        <is>
          <t>Commercial Real Estate</t>
        </is>
      </c>
      <c r="P424" t="inlineStr">
        <is>
          <t>commercial property,residential property</t>
        </is>
      </c>
      <c r="Q424" t="inlineStr">
        <is>
          <t>+441463219230</t>
        </is>
      </c>
    </row>
    <row r="425">
      <c r="A425" t="inlineStr">
        <is>
          <t>54a2bf207468693fda62d539</t>
        </is>
      </c>
      <c r="B425" t="inlineStr">
        <is>
          <t>Richard Mounsey</t>
        </is>
      </c>
      <c r="C425">
        <f>HYPERLINK("http://www.linkedin.com/in/richard-mounsey-3959431b")</f>
        <v/>
      </c>
      <c r="D425" t="inlineStr">
        <is>
          <t>richard@mounseysurveyors.co.uk</t>
        </is>
      </c>
      <c r="E425" t="inlineStr">
        <is>
          <t>Director</t>
        </is>
      </c>
      <c r="F425">
        <f>HYPERLINK("https://app.apollo.io/#/people/54a2bf207468693fda62d539")</f>
        <v/>
      </c>
      <c r="G425" t="inlineStr">
        <is>
          <t>Mounsey Chartered Surveyors</t>
        </is>
      </c>
      <c r="H425">
        <f>HYPERLINK("https://app.apollo.io/#/organizations/54a135b669702d4b2e35ba00")</f>
        <v/>
      </c>
      <c r="I425">
        <f>HYPERLINK("http://www.mounseysurveyors.co.uk/")</f>
        <v/>
      </c>
      <c r="J425">
        <f>HYPERLINK("http://www.linkedin.com/company/mounsey-chartered-surveyors")</f>
        <v/>
      </c>
      <c r="K425">
        <f>HYPERLINK("https://mobile.twitter.com/mounseysurveyor")</f>
        <v/>
      </c>
      <c r="L425">
        <f>HYPERLINK("https://www.facebook.com/MounseyCharteredSurveyors/")</f>
        <v/>
      </c>
      <c r="M425" t="inlineStr">
        <is>
          <t>Stoke-on-Trent, United Kingdom</t>
        </is>
      </c>
      <c r="N425" t="inlineStr">
        <is>
          <t>20</t>
        </is>
      </c>
      <c r="O425" t="inlineStr">
        <is>
          <t>Commercial Real Estate</t>
        </is>
      </c>
      <c r="P425" t="inlineStr">
        <is>
          <t>sales,lettings,acquisitions,property</t>
        </is>
      </c>
      <c r="Q425" t="inlineStr">
        <is>
          <t>+441782202294</t>
        </is>
      </c>
    </row>
    <row r="426">
      <c r="A426" t="inlineStr">
        <is>
          <t>54a2902c7468693a7e7b4f2c</t>
        </is>
      </c>
      <c r="B426" t="inlineStr">
        <is>
          <t>Tom Beaumont</t>
        </is>
      </c>
      <c r="C426">
        <f>HYPERLINK("http://www.linkedin.com/in/tom-beaumont-08567951")</f>
        <v/>
      </c>
      <c r="D426" t="inlineStr">
        <is>
          <t>tom.beaumont@colliers.com</t>
        </is>
      </c>
      <c r="E426" t="inlineStr">
        <is>
          <t>Director</t>
        </is>
      </c>
      <c r="F426">
        <f>HYPERLINK("https://app.apollo.io/#/people/54a2902c7468693a7e7b4f2c")</f>
        <v/>
      </c>
      <c r="G426" t="inlineStr">
        <is>
          <t>Colliers</t>
        </is>
      </c>
      <c r="H426">
        <f>HYPERLINK("https://app.apollo.io/#/organizations/6555987899cddc0001ca0af8")</f>
        <v/>
      </c>
      <c r="I426">
        <f>HYPERLINK("Not Found")</f>
        <v/>
      </c>
      <c r="J426">
        <f>HYPERLINK("http://www.linkedin.com/company/colliers")</f>
        <v/>
      </c>
      <c r="K426">
        <f>HYPERLINK("https://twitter.com/collierscanada")</f>
        <v/>
      </c>
      <c r="L426">
        <f>HYPERLINK("Not Found")</f>
        <v/>
      </c>
      <c r="M426" t="inlineStr">
        <is>
          <t>Manchester, United Kingdom</t>
        </is>
      </c>
      <c r="N426" t="inlineStr">
        <is>
          <t>25,000</t>
        </is>
      </c>
      <c r="O426" t="inlineStr">
        <is>
          <t>Commercial Real Estate</t>
        </is>
      </c>
      <c r="P426" t="inlineStr">
        <is>
          <t>brokerage &amp; agency,corporate solutions</t>
        </is>
      </c>
      <c r="Q426" t="inlineStr">
        <is>
          <t>(416)-777-2200</t>
        </is>
      </c>
    </row>
    <row r="427">
      <c r="A427" t="inlineStr">
        <is>
          <t>6578bec7ccf69c01ae54f599</t>
        </is>
      </c>
      <c r="B427" t="inlineStr">
        <is>
          <t>Ric Smith</t>
        </is>
      </c>
      <c r="C427">
        <f>HYPERLINK("http://www.linkedin.com/in/ric-smith-80600518")</f>
        <v/>
      </c>
      <c r="D427" t="inlineStr">
        <is>
          <t>Not Found</t>
        </is>
      </c>
      <c r="E427" t="inlineStr">
        <is>
          <t>Co-Founder / creative director</t>
        </is>
      </c>
      <c r="F427">
        <f>HYPERLINK("https://app.apollo.io/#/contacts/6578bec7ccf69c01ae54f599")</f>
        <v/>
      </c>
      <c r="G427" t="inlineStr">
        <is>
          <t>Satori Collective</t>
        </is>
      </c>
      <c r="H427">
        <f>HYPERLINK("https://app.apollo.io/#/accounts/6578bec7ccf69c01ae54f59a")</f>
        <v/>
      </c>
      <c r="I427">
        <f>HYPERLINK("http://www.satoricol.com/")</f>
        <v/>
      </c>
      <c r="J427">
        <f>HYPERLINK("http://www.linkedin.com/company/satori-col")</f>
        <v/>
      </c>
      <c r="K427">
        <f>HYPERLINK("Not Found")</f>
        <v/>
      </c>
      <c r="L427">
        <f>HYPERLINK("Not Found")</f>
        <v/>
      </c>
      <c r="M427" t="inlineStr">
        <is>
          <t>United Kingdom</t>
        </is>
      </c>
      <c r="N427" t="inlineStr">
        <is>
          <t>10</t>
        </is>
      </c>
      <c r="O427" t="inlineStr">
        <is>
          <t>Commercial Real Estate</t>
        </is>
      </c>
      <c r="P427" t="inlineStr">
        <is>
          <t>institutional,investment,commercial real estate</t>
        </is>
      </c>
      <c r="Q427" t="inlineStr">
        <is>
          <t>Not Found</t>
        </is>
      </c>
    </row>
    <row r="428">
      <c r="A428" t="inlineStr">
        <is>
          <t>5fc5399a6c98ce00015022c0</t>
        </is>
      </c>
      <c r="B428" t="inlineStr">
        <is>
          <t>Antoine Detrie</t>
        </is>
      </c>
      <c r="C428">
        <f>HYPERLINK("http://www.linkedin.com/in/antoinedetrie")</f>
        <v/>
      </c>
      <c r="D428" t="inlineStr">
        <is>
          <t>antoine@frenchtouchcommercial.com</t>
        </is>
      </c>
      <c r="E428" t="inlineStr">
        <is>
          <t>Director</t>
        </is>
      </c>
      <c r="F428">
        <f>HYPERLINK("https://app.apollo.io/#/people/5fc5399a6c98ce00015022c0")</f>
        <v/>
      </c>
      <c r="G428" t="inlineStr">
        <is>
          <t>French Touch Commercial</t>
        </is>
      </c>
      <c r="H428">
        <f>HYPERLINK("https://app.apollo.io/#/organizations/61ec21ae7d02450001416f5d")</f>
        <v/>
      </c>
      <c r="I428">
        <f>HYPERLINK("http://www.frenchtouchcommercial.com/")</f>
        <v/>
      </c>
      <c r="J428">
        <f>HYPERLINK("http://www.linkedin.com/company/french-touch-commercial")</f>
        <v/>
      </c>
      <c r="K428">
        <f>HYPERLINK("Not Found")</f>
        <v/>
      </c>
      <c r="L428">
        <f>HYPERLINK("Not Found")</f>
        <v/>
      </c>
      <c r="M428" t="inlineStr">
        <is>
          <t>London, United Kingdom</t>
        </is>
      </c>
      <c r="N428" t="inlineStr">
        <is>
          <t>2</t>
        </is>
      </c>
      <c r="O428" t="inlineStr">
        <is>
          <t>Commercial Real Estate</t>
        </is>
      </c>
      <c r="Q428" t="inlineStr">
        <is>
          <t>+442089940447</t>
        </is>
      </c>
    </row>
    <row r="429">
      <c r="A429" t="inlineStr">
        <is>
          <t>5abb9d97a6da9841054a22bd</t>
        </is>
      </c>
      <c r="B429" t="inlineStr">
        <is>
          <t>Steve Thomson</t>
        </is>
      </c>
      <c r="C429">
        <f>HYPERLINK("http://www.linkedin.com/in/steve-thomson-4582ba16")</f>
        <v/>
      </c>
      <c r="D429" t="inlineStr">
        <is>
          <t>steven@innesbc.com</t>
        </is>
      </c>
      <c r="E429" t="inlineStr">
        <is>
          <t>Director</t>
        </is>
      </c>
      <c r="F429">
        <f>HYPERLINK("https://app.apollo.io/#/people/5abb9d97a6da9841054a22bd")</f>
        <v/>
      </c>
      <c r="G429" t="inlineStr">
        <is>
          <t>Innes Building Consultancy</t>
        </is>
      </c>
      <c r="H429">
        <f>HYPERLINK("https://app.apollo.io/#/accounts/6578c2bb48f92e01ae97ba8f")</f>
        <v/>
      </c>
      <c r="I429">
        <f>HYPERLINK("http://www.innesbc.com/")</f>
        <v/>
      </c>
      <c r="J429">
        <f>HYPERLINK("http://www.linkedin.com/company/innes-associates-building-consultancy")</f>
        <v/>
      </c>
      <c r="K429">
        <f>HYPERLINK("Not Found")</f>
        <v/>
      </c>
      <c r="L429">
        <f>HYPERLINK("Not Found")</f>
        <v/>
      </c>
      <c r="M429" t="inlineStr">
        <is>
          <t>Perth, United Kingdom</t>
        </is>
      </c>
      <c r="N429" t="inlineStr">
        <is>
          <t>8</t>
        </is>
      </c>
      <c r="O429" t="inlineStr">
        <is>
          <t>Commercial Real Estate</t>
        </is>
      </c>
      <c r="P429" t="inlineStr">
        <is>
          <t>project &amp; relocation management,building surveys</t>
        </is>
      </c>
      <c r="Q429" t="inlineStr">
        <is>
          <t>+447834767350</t>
        </is>
      </c>
    </row>
    <row r="430">
      <c r="A430" t="inlineStr">
        <is>
          <t>63b96ccc21312d00011a9511</t>
        </is>
      </c>
      <c r="B430" t="inlineStr">
        <is>
          <t>Harry Flood</t>
        </is>
      </c>
      <c r="C430">
        <f>HYPERLINK("http://www.linkedin.com/in/harry-flood-52431560")</f>
        <v/>
      </c>
      <c r="D430" t="inlineStr">
        <is>
          <t>harry.flood@colliers.com</t>
        </is>
      </c>
      <c r="E430" t="inlineStr">
        <is>
          <t>Director</t>
        </is>
      </c>
      <c r="F430">
        <f>HYPERLINK("https://app.apollo.io/#/people/63b96ccc21312d00011a9511")</f>
        <v/>
      </c>
      <c r="G430" t="inlineStr">
        <is>
          <t>Colliers</t>
        </is>
      </c>
      <c r="H430">
        <f>HYPERLINK("https://app.apollo.io/#/accounts/64aaf6c63d556a0001e8eda6")</f>
        <v/>
      </c>
      <c r="I430">
        <f>HYPERLINK("http://www.colliers.com/")</f>
        <v/>
      </c>
      <c r="J430">
        <f>HYPERLINK("http://www.linkedin.com/company/colliers")</f>
        <v/>
      </c>
      <c r="K430">
        <f>HYPERLINK("https://twitter.com/Colliers")</f>
        <v/>
      </c>
      <c r="L430">
        <f>HYPERLINK("https://facebook.com/colliersinternational/")</f>
        <v/>
      </c>
      <c r="M430" t="inlineStr">
        <is>
          <t>London, United Kingdom</t>
        </is>
      </c>
      <c r="N430" t="inlineStr">
        <is>
          <t>25,000</t>
        </is>
      </c>
      <c r="O430" t="inlineStr">
        <is>
          <t>Commercial Real Estate</t>
        </is>
      </c>
      <c r="P430" t="inlineStr">
        <is>
          <t>brokerage &amp; agency,corporate solutions</t>
        </is>
      </c>
      <c r="Q430" t="inlineStr">
        <is>
          <t>(702)-727-3783</t>
        </is>
      </c>
    </row>
    <row r="431">
      <c r="A431" t="inlineStr">
        <is>
          <t>5ab3d518a6da98700c4ea07b</t>
        </is>
      </c>
      <c r="B431" t="inlineStr">
        <is>
          <t>Simon Hill</t>
        </is>
      </c>
      <c r="C431">
        <f>HYPERLINK("http://www.linkedin.com/in/simon-hill-a2680551")</f>
        <v/>
      </c>
      <c r="D431" t="inlineStr">
        <is>
          <t>simon.hill@colliers.com</t>
        </is>
      </c>
      <c r="E431" t="inlineStr">
        <is>
          <t>Director</t>
        </is>
      </c>
      <c r="F431">
        <f>HYPERLINK("https://app.apollo.io/#/people/5ab3d518a6da98700c4ea07b")</f>
        <v/>
      </c>
      <c r="G431" t="inlineStr">
        <is>
          <t>Colliers</t>
        </is>
      </c>
      <c r="H431">
        <f>HYPERLINK("https://app.apollo.io/#/accounts/64aaf6c63d556a0001e8eda6")</f>
        <v/>
      </c>
      <c r="I431">
        <f>HYPERLINK("http://www.colliers.com/")</f>
        <v/>
      </c>
      <c r="J431">
        <f>HYPERLINK("http://www.linkedin.com/company/colliers")</f>
        <v/>
      </c>
      <c r="K431">
        <f>HYPERLINK("https://twitter.com/Colliers")</f>
        <v/>
      </c>
      <c r="L431">
        <f>HYPERLINK("https://facebook.com/colliersinternational/")</f>
        <v/>
      </c>
      <c r="M431" t="inlineStr">
        <is>
          <t>Leeds, United Kingdom</t>
        </is>
      </c>
      <c r="N431" t="inlineStr">
        <is>
          <t>25,000</t>
        </is>
      </c>
      <c r="O431" t="inlineStr">
        <is>
          <t>Commercial Real Estate</t>
        </is>
      </c>
      <c r="P431" t="inlineStr">
        <is>
          <t>brokerage &amp; agency,corporate solutions</t>
        </is>
      </c>
      <c r="Q431" t="inlineStr">
        <is>
          <t>(702)-727-3783</t>
        </is>
      </c>
    </row>
    <row r="432">
      <c r="A432" t="inlineStr">
        <is>
          <t>613eb77624f1090001a6ad9b</t>
        </is>
      </c>
      <c r="B432" t="inlineStr">
        <is>
          <t>Aron Samra</t>
        </is>
      </c>
      <c r="C432">
        <f>HYPERLINK("http://www.linkedin.com/in/aron-samra-185a4013")</f>
        <v/>
      </c>
      <c r="D432" t="inlineStr">
        <is>
          <t>aron.samra@colliers.com</t>
        </is>
      </c>
      <c r="E432" t="inlineStr">
        <is>
          <t>Director</t>
        </is>
      </c>
      <c r="F432">
        <f>HYPERLINK("https://app.apollo.io/#/people/613eb77624f1090001a6ad9b")</f>
        <v/>
      </c>
      <c r="G432" t="inlineStr">
        <is>
          <t>Colliers</t>
        </is>
      </c>
      <c r="H432">
        <f>HYPERLINK("https://app.apollo.io/#/accounts/64aaf6c63d556a0001e8eda6")</f>
        <v/>
      </c>
      <c r="I432">
        <f>HYPERLINK("http://www.colliers.com/")</f>
        <v/>
      </c>
      <c r="J432">
        <f>HYPERLINK("http://www.linkedin.com/company/colliers")</f>
        <v/>
      </c>
      <c r="K432">
        <f>HYPERLINK("https://twitter.com/Colliers")</f>
        <v/>
      </c>
      <c r="L432">
        <f>HYPERLINK("https://facebook.com/colliersinternational/")</f>
        <v/>
      </c>
      <c r="M432" t="inlineStr">
        <is>
          <t>London, United Kingdom</t>
        </is>
      </c>
      <c r="N432" t="inlineStr">
        <is>
          <t>25,000</t>
        </is>
      </c>
      <c r="O432" t="inlineStr">
        <is>
          <t>Commercial Real Estate</t>
        </is>
      </c>
      <c r="P432" t="inlineStr">
        <is>
          <t>brokerage &amp; agency,corporate solutions</t>
        </is>
      </c>
      <c r="Q432" t="inlineStr">
        <is>
          <t>(702)-727-3783</t>
        </is>
      </c>
    </row>
    <row r="433">
      <c r="A433" t="inlineStr">
        <is>
          <t>5ae75d2da6da9840abe844d7</t>
        </is>
      </c>
      <c r="B433" t="inlineStr">
        <is>
          <t>James Lewis</t>
        </is>
      </c>
      <c r="C433">
        <f>HYPERLINK("http://www.linkedin.com/in/james-lewis-79749a5b")</f>
        <v/>
      </c>
      <c r="D433" t="inlineStr">
        <is>
          <t>jlewis@canmoor.com</t>
        </is>
      </c>
      <c r="E433" t="inlineStr">
        <is>
          <t>Director</t>
        </is>
      </c>
      <c r="F433">
        <f>HYPERLINK("https://app.apollo.io/#/people/5ae75d2da6da9840abe844d7")</f>
        <v/>
      </c>
      <c r="G433" t="inlineStr">
        <is>
          <t>CANMOOR</t>
        </is>
      </c>
      <c r="H433">
        <f>HYPERLINK("https://app.apollo.io/#/organizations/5f45ecdafbba2600013cf79d")</f>
        <v/>
      </c>
      <c r="I433">
        <f>HYPERLINK("Not Found")</f>
        <v/>
      </c>
      <c r="J433">
        <f>HYPERLINK("http://www.linkedin.com/company/canmoor-asset-management-limited")</f>
        <v/>
      </c>
      <c r="K433">
        <f>HYPERLINK("Not Found")</f>
        <v/>
      </c>
      <c r="L433">
        <f>HYPERLINK("Not Found")</f>
        <v/>
      </c>
      <c r="M433" t="inlineStr">
        <is>
          <t>Manchester, United Kingdom</t>
        </is>
      </c>
      <c r="N433" t="inlineStr">
        <is>
          <t>22</t>
        </is>
      </c>
      <c r="O433" t="inlineStr">
        <is>
          <t>Commercial Real Estate</t>
        </is>
      </c>
      <c r="Q433" t="inlineStr">
        <is>
          <t>+442074954115</t>
        </is>
      </c>
    </row>
    <row r="434">
      <c r="A434" t="inlineStr">
        <is>
          <t>54a606f77468692fa29eddbc</t>
        </is>
      </c>
      <c r="B434" t="inlineStr">
        <is>
          <t>Helen Jones</t>
        </is>
      </c>
      <c r="C434">
        <f>HYPERLINK("http://www.linkedin.com/in/helen-jones-mrics-93196126")</f>
        <v/>
      </c>
      <c r="D434" t="inlineStr">
        <is>
          <t>helen.jones@colliers.com</t>
        </is>
      </c>
      <c r="E434" t="inlineStr">
        <is>
          <t>Director</t>
        </is>
      </c>
      <c r="F434">
        <f>HYPERLINK("https://app.apollo.io/#/people/54a606f77468692fa29eddbc")</f>
        <v/>
      </c>
      <c r="G434" t="inlineStr">
        <is>
          <t>Colliers</t>
        </is>
      </c>
      <c r="H434">
        <f>HYPERLINK("https://app.apollo.io/#/accounts/64aaf6c63d556a0001e8eda6")</f>
        <v/>
      </c>
      <c r="I434">
        <f>HYPERLINK("http://www.colliers.com/")</f>
        <v/>
      </c>
      <c r="J434">
        <f>HYPERLINK("http://www.linkedin.com/company/colliers")</f>
        <v/>
      </c>
      <c r="K434">
        <f>HYPERLINK("https://twitter.com/Colliers")</f>
        <v/>
      </c>
      <c r="L434">
        <f>HYPERLINK("https://facebook.com/colliersinternational/")</f>
        <v/>
      </c>
      <c r="M434" t="inlineStr">
        <is>
          <t>London, United Kingdom</t>
        </is>
      </c>
      <c r="N434" t="inlineStr">
        <is>
          <t>25,000</t>
        </is>
      </c>
      <c r="O434" t="inlineStr">
        <is>
          <t>Commercial Real Estate</t>
        </is>
      </c>
      <c r="P434" t="inlineStr">
        <is>
          <t>brokerage &amp; agency,corporate solutions</t>
        </is>
      </c>
      <c r="Q434" t="inlineStr">
        <is>
          <t>(702)-727-3783</t>
        </is>
      </c>
    </row>
    <row r="435">
      <c r="A435" t="inlineStr">
        <is>
          <t>5570972e7369640914db6300</t>
        </is>
      </c>
      <c r="B435" t="inlineStr">
        <is>
          <t>Rob Worton</t>
        </is>
      </c>
      <c r="C435">
        <f>HYPERLINK("http://www.linkedin.com/in/rob-worton-a18544ab")</f>
        <v/>
      </c>
      <c r="D435" t="inlineStr">
        <is>
          <t>rob.worton@colliers.com</t>
        </is>
      </c>
      <c r="E435" t="inlineStr">
        <is>
          <t>Director</t>
        </is>
      </c>
      <c r="F435">
        <f>HYPERLINK("https://app.apollo.io/#/people/5570972e7369640914db6300")</f>
        <v/>
      </c>
      <c r="G435" t="inlineStr">
        <is>
          <t>Colliers</t>
        </is>
      </c>
      <c r="H435">
        <f>HYPERLINK("https://app.apollo.io/#/accounts/64aaf6c63d556a0001e8eda6")</f>
        <v/>
      </c>
      <c r="I435">
        <f>HYPERLINK("http://www.colliers.com/")</f>
        <v/>
      </c>
      <c r="J435">
        <f>HYPERLINK("http://www.linkedin.com/company/colliers")</f>
        <v/>
      </c>
      <c r="K435">
        <f>HYPERLINK("https://twitter.com/Colliers")</f>
        <v/>
      </c>
      <c r="L435">
        <f>HYPERLINK("https://facebook.com/colliersinternational/")</f>
        <v/>
      </c>
      <c r="M435" t="inlineStr">
        <is>
          <t>Kingston upon Thames, United Kingdom</t>
        </is>
      </c>
      <c r="N435" t="inlineStr">
        <is>
          <t>25,000</t>
        </is>
      </c>
      <c r="O435" t="inlineStr">
        <is>
          <t>Commercial Real Estate</t>
        </is>
      </c>
      <c r="P435" t="inlineStr">
        <is>
          <t>brokerage &amp; agency,corporate solutions</t>
        </is>
      </c>
      <c r="Q435" t="inlineStr">
        <is>
          <t>(702)-727-3783</t>
        </is>
      </c>
    </row>
    <row r="436">
      <c r="A436" t="inlineStr">
        <is>
          <t>64e0a06ed7b2b700018489f7</t>
        </is>
      </c>
      <c r="B436" t="inlineStr">
        <is>
          <t>Tom Cullen</t>
        </is>
      </c>
      <c r="C436">
        <f>HYPERLINK("http://www.linkedin.com/in/tom-cullen-83863930")</f>
        <v/>
      </c>
      <c r="D436" t="inlineStr">
        <is>
          <t>tom.cullen@colliers.com</t>
        </is>
      </c>
      <c r="E436" t="inlineStr">
        <is>
          <t>Director</t>
        </is>
      </c>
      <c r="F436">
        <f>HYPERLINK("https://app.apollo.io/#/people/64e0a06ed7b2b700018489f7")</f>
        <v/>
      </c>
      <c r="G436" t="inlineStr">
        <is>
          <t>Colliers</t>
        </is>
      </c>
      <c r="H436">
        <f>HYPERLINK("https://app.apollo.io/#/accounts/64aaf6c63d556a0001e8eda6")</f>
        <v/>
      </c>
      <c r="I436">
        <f>HYPERLINK("http://www.colliers.com/")</f>
        <v/>
      </c>
      <c r="J436">
        <f>HYPERLINK("http://www.linkedin.com/company/colliers")</f>
        <v/>
      </c>
      <c r="K436">
        <f>HYPERLINK("https://twitter.com/Colliers")</f>
        <v/>
      </c>
      <c r="L436">
        <f>HYPERLINK("https://facebook.com/colliersinternational/")</f>
        <v/>
      </c>
      <c r="M436" t="inlineStr">
        <is>
          <t>Leeds, United Kingdom</t>
        </is>
      </c>
      <c r="N436" t="inlineStr">
        <is>
          <t>25,000</t>
        </is>
      </c>
      <c r="O436" t="inlineStr">
        <is>
          <t>Commercial Real Estate</t>
        </is>
      </c>
      <c r="P436" t="inlineStr">
        <is>
          <t>brokerage &amp; agency,corporate solutions</t>
        </is>
      </c>
      <c r="Q436" t="inlineStr">
        <is>
          <t>(702)-727-3783</t>
        </is>
      </c>
    </row>
    <row r="437">
      <c r="A437" t="inlineStr">
        <is>
          <t>618c97fbc2d59500013f7bac</t>
        </is>
      </c>
      <c r="B437" t="inlineStr">
        <is>
          <t>Tom Davey</t>
        </is>
      </c>
      <c r="C437">
        <f>HYPERLINK("http://www.linkedin.com/in/tom-davey-mrics-30a23752")</f>
        <v/>
      </c>
      <c r="D437" t="inlineStr">
        <is>
          <t>tom.davey@colliers.com</t>
        </is>
      </c>
      <c r="E437" t="inlineStr">
        <is>
          <t>Director</t>
        </is>
      </c>
      <c r="F437">
        <f>HYPERLINK("https://app.apollo.io/#/people/618c97fbc2d59500013f7bac")</f>
        <v/>
      </c>
      <c r="G437" t="inlineStr">
        <is>
          <t>Colliers</t>
        </is>
      </c>
      <c r="H437">
        <f>HYPERLINK("https://app.apollo.io/#/accounts/64aaf6c63d556a0001e8eda6")</f>
        <v/>
      </c>
      <c r="I437">
        <f>HYPERLINK("http://www.colliers.com/")</f>
        <v/>
      </c>
      <c r="J437">
        <f>HYPERLINK("http://www.linkedin.com/company/colliers")</f>
        <v/>
      </c>
      <c r="K437">
        <f>HYPERLINK("https://twitter.com/Colliers")</f>
        <v/>
      </c>
      <c r="L437">
        <f>HYPERLINK("https://facebook.com/colliersinternational/")</f>
        <v/>
      </c>
      <c r="M437" t="inlineStr">
        <is>
          <t>United Kingdom</t>
        </is>
      </c>
      <c r="N437" t="inlineStr">
        <is>
          <t>25,000</t>
        </is>
      </c>
      <c r="O437" t="inlineStr">
        <is>
          <t>Commercial Real Estate</t>
        </is>
      </c>
      <c r="P437" t="inlineStr">
        <is>
          <t>brokerage &amp; agency,corporate solutions</t>
        </is>
      </c>
      <c r="Q437" t="inlineStr">
        <is>
          <t>(702)-727-3783</t>
        </is>
      </c>
    </row>
    <row r="438">
      <c r="A438" t="inlineStr">
        <is>
          <t>55dd65c8f3e5bb42df003a3f</t>
        </is>
      </c>
      <c r="B438" t="inlineStr">
        <is>
          <t>Cara Nicell</t>
        </is>
      </c>
      <c r="C438">
        <f>HYPERLINK("http://www.linkedin.com/in/cara-nicell-3581a345")</f>
        <v/>
      </c>
      <c r="D438" t="inlineStr">
        <is>
          <t>cara.nicell@colliers.com</t>
        </is>
      </c>
      <c r="E438" t="inlineStr">
        <is>
          <t>Director</t>
        </is>
      </c>
      <c r="F438">
        <f>HYPERLINK("https://app.apollo.io/#/people/55dd65c8f3e5bb42df003a3f")</f>
        <v/>
      </c>
      <c r="G438" t="inlineStr">
        <is>
          <t>Colliers</t>
        </is>
      </c>
      <c r="H438">
        <f>HYPERLINK("https://app.apollo.io/#/accounts/64aaf6c63d556a0001e8eda6")</f>
        <v/>
      </c>
      <c r="I438">
        <f>HYPERLINK("http://www.colliers.com/")</f>
        <v/>
      </c>
      <c r="J438">
        <f>HYPERLINK("http://www.linkedin.com/company/colliers")</f>
        <v/>
      </c>
      <c r="K438">
        <f>HYPERLINK("https://twitter.com/Colliers")</f>
        <v/>
      </c>
      <c r="L438">
        <f>HYPERLINK("https://facebook.com/colliersinternational/")</f>
        <v/>
      </c>
      <c r="M438" t="inlineStr">
        <is>
          <t>Belfast, United Kingdom</t>
        </is>
      </c>
      <c r="N438" t="inlineStr">
        <is>
          <t>25,000</t>
        </is>
      </c>
      <c r="O438" t="inlineStr">
        <is>
          <t>Commercial Real Estate</t>
        </is>
      </c>
      <c r="P438" t="inlineStr">
        <is>
          <t>brokerage &amp; agency,corporate solutions</t>
        </is>
      </c>
      <c r="Q438" t="inlineStr">
        <is>
          <t>(702)-727-3783</t>
        </is>
      </c>
    </row>
    <row r="439">
      <c r="A439" t="inlineStr">
        <is>
          <t>60d30e666882070001dd3434</t>
        </is>
      </c>
      <c r="B439" t="inlineStr">
        <is>
          <t>Adam Velleman</t>
        </is>
      </c>
      <c r="C439">
        <f>HYPERLINK("http://www.linkedin.com/in/adam-velleman-08ba1712")</f>
        <v/>
      </c>
      <c r="D439" t="inlineStr">
        <is>
          <t>adam@burlingtongreen.co.uk</t>
        </is>
      </c>
      <c r="E439" t="inlineStr">
        <is>
          <t>Director</t>
        </is>
      </c>
      <c r="F439">
        <f>HYPERLINK("https://app.apollo.io/#/people/60d30e666882070001dd3434")</f>
        <v/>
      </c>
      <c r="G439" t="inlineStr">
        <is>
          <t>Burlington Green Partners</t>
        </is>
      </c>
      <c r="H439">
        <f>HYPERLINK("https://app.apollo.io/#/organizations/57c4ef49a6da9869ef35ef26")</f>
        <v/>
      </c>
      <c r="I439">
        <f>HYPERLINK("http://www.burlingtongreen.co.uk/")</f>
        <v/>
      </c>
      <c r="J439">
        <f>HYPERLINK("http://www.linkedin.com/company/burlington-green-partners")</f>
        <v/>
      </c>
      <c r="K439">
        <f>HYPERLINK("Not Found")</f>
        <v/>
      </c>
      <c r="L439">
        <f>HYPERLINK("Not Found")</f>
        <v/>
      </c>
      <c r="M439" t="inlineStr">
        <is>
          <t>London, United Kingdom</t>
        </is>
      </c>
      <c r="N439" t="inlineStr">
        <is>
          <t>3</t>
        </is>
      </c>
      <c r="O439" t="inlineStr">
        <is>
          <t>Commercial Real Estate</t>
        </is>
      </c>
      <c r="Q439" t="inlineStr">
        <is>
          <t>+442074348780</t>
        </is>
      </c>
    </row>
    <row r="440">
      <c r="A440" t="inlineStr">
        <is>
          <t>5aa8785fa6da98ccff02a104</t>
        </is>
      </c>
      <c r="B440" t="inlineStr">
        <is>
          <t>James Anderson</t>
        </is>
      </c>
      <c r="C440">
        <f>HYPERLINK("http://www.linkedin.com/in/jamesanderson00")</f>
        <v/>
      </c>
      <c r="D440" t="inlineStr">
        <is>
          <t>james@catercombi.com</t>
        </is>
      </c>
      <c r="E440" t="inlineStr">
        <is>
          <t>Director</t>
        </is>
      </c>
      <c r="F440">
        <f>HYPERLINK("https://app.apollo.io/#/people/5aa8785fa6da98ccff02a104")</f>
        <v/>
      </c>
      <c r="G440" t="inlineStr">
        <is>
          <t>CATERCOMBI LTD</t>
        </is>
      </c>
      <c r="H440">
        <f>HYPERLINK("https://app.apollo.io/#/organizations/655d976c3a0aa200011f3dcb")</f>
        <v/>
      </c>
      <c r="I440">
        <f>HYPERLINK("http://www.catercombi.com/")</f>
        <v/>
      </c>
      <c r="J440">
        <f>HYPERLINK("http://www.linkedin.com/company/catercombi-ltd")</f>
        <v/>
      </c>
      <c r="K440">
        <f>HYPERLINK("Not Found")</f>
        <v/>
      </c>
      <c r="L440">
        <f>HYPERLINK("Not Found")</f>
        <v/>
      </c>
      <c r="M440" t="inlineStr">
        <is>
          <t>Canterbury, United Kingdom</t>
        </is>
      </c>
      <c r="N440" t="inlineStr">
        <is>
          <t>3</t>
        </is>
      </c>
      <c r="O440" t="inlineStr">
        <is>
          <t>Commercial Real Estate</t>
        </is>
      </c>
      <c r="P440" t="inlineStr">
        <is>
          <t>combi oven rental &amp; combi oven sales</t>
        </is>
      </c>
      <c r="Q440" t="inlineStr">
        <is>
          <t>+441227469692</t>
        </is>
      </c>
    </row>
    <row r="441">
      <c r="A441" t="inlineStr">
        <is>
          <t>54a4436d7468692fa2a3bf39</t>
        </is>
      </c>
      <c r="B441" t="inlineStr">
        <is>
          <t>Spyros Michaelides</t>
        </is>
      </c>
      <c r="C441">
        <f>HYPERLINK("http://www.linkedin.com/in/spyros-michaelides-6b607a15")</f>
        <v/>
      </c>
      <c r="D441" t="inlineStr">
        <is>
          <t>spyros.michaelides@colliers.com</t>
        </is>
      </c>
      <c r="E441" t="inlineStr">
        <is>
          <t>Director</t>
        </is>
      </c>
      <c r="F441">
        <f>HYPERLINK("https://app.apollo.io/#/people/54a4436d7468692fa2a3bf39")</f>
        <v/>
      </c>
      <c r="G441" t="inlineStr">
        <is>
          <t>Colliers</t>
        </is>
      </c>
      <c r="H441">
        <f>HYPERLINK("https://app.apollo.io/#/accounts/64aaf6c63d556a0001e8eda6")</f>
        <v/>
      </c>
      <c r="I441">
        <f>HYPERLINK("http://www.colliers.com/")</f>
        <v/>
      </c>
      <c r="J441">
        <f>HYPERLINK("http://www.linkedin.com/company/colliers")</f>
        <v/>
      </c>
      <c r="K441">
        <f>HYPERLINK("https://twitter.com/Colliers")</f>
        <v/>
      </c>
      <c r="L441">
        <f>HYPERLINK("https://facebook.com/colliersinternational/")</f>
        <v/>
      </c>
      <c r="M441" t="inlineStr">
        <is>
          <t>London, United Kingdom</t>
        </is>
      </c>
      <c r="N441" t="inlineStr">
        <is>
          <t>25,000</t>
        </is>
      </c>
      <c r="O441" t="inlineStr">
        <is>
          <t>Commercial Real Estate</t>
        </is>
      </c>
      <c r="P441" t="inlineStr">
        <is>
          <t>brokerage &amp; agency,corporate solutions</t>
        </is>
      </c>
      <c r="Q441" t="inlineStr">
        <is>
          <t>(702)-727-3783</t>
        </is>
      </c>
    </row>
    <row r="442">
      <c r="A442" t="inlineStr">
        <is>
          <t>631dba80718e1800013799c2</t>
        </is>
      </c>
      <c r="B442" t="inlineStr">
        <is>
          <t>Elliot Cassels</t>
        </is>
      </c>
      <c r="C442">
        <f>HYPERLINK("http://www.linkedin.com/in/elliot-cassels-a1ab34205")</f>
        <v/>
      </c>
      <c r="D442" t="inlineStr">
        <is>
          <t>elliot.cassels@colliers.com</t>
        </is>
      </c>
      <c r="E442" t="inlineStr">
        <is>
          <t>Director</t>
        </is>
      </c>
      <c r="F442">
        <f>HYPERLINK("https://app.apollo.io/#/people/631dba80718e1800013799c2")</f>
        <v/>
      </c>
      <c r="G442" t="inlineStr">
        <is>
          <t>Colliers</t>
        </is>
      </c>
      <c r="H442">
        <f>HYPERLINK("https://app.apollo.io/#/accounts/64aaf6c63d556a0001e8eda6")</f>
        <v/>
      </c>
      <c r="I442">
        <f>HYPERLINK("http://www.colliers.com/")</f>
        <v/>
      </c>
      <c r="J442">
        <f>HYPERLINK("http://www.linkedin.com/company/colliers")</f>
        <v/>
      </c>
      <c r="K442">
        <f>HYPERLINK("https://twitter.com/Colliers")</f>
        <v/>
      </c>
      <c r="L442">
        <f>HYPERLINK("https://facebook.com/colliersinternational/")</f>
        <v/>
      </c>
      <c r="M442" t="inlineStr">
        <is>
          <t>Edinburgh, United Kingdom</t>
        </is>
      </c>
      <c r="N442" t="inlineStr">
        <is>
          <t>25,000</t>
        </is>
      </c>
      <c r="O442" t="inlineStr">
        <is>
          <t>Commercial Real Estate</t>
        </is>
      </c>
      <c r="P442" t="inlineStr">
        <is>
          <t>brokerage &amp; agency,corporate solutions</t>
        </is>
      </c>
      <c r="Q442" t="inlineStr">
        <is>
          <t>(702)-727-3783</t>
        </is>
      </c>
    </row>
    <row r="443">
      <c r="A443" t="inlineStr">
        <is>
          <t>6533772a87285e000179b7a9</t>
        </is>
      </c>
      <c r="B443" t="inlineStr">
        <is>
          <t>Mark Fitzgerald</t>
        </is>
      </c>
      <c r="C443">
        <f>HYPERLINK("http://www.linkedin.com/in/mark-fitzgerald-69127686")</f>
        <v/>
      </c>
      <c r="D443" t="inlineStr">
        <is>
          <t>mark.fitzgerald@colliers.com</t>
        </is>
      </c>
      <c r="E443" t="inlineStr">
        <is>
          <t>Director</t>
        </is>
      </c>
      <c r="F443">
        <f>HYPERLINK("https://app.apollo.io/#/people/6533772a87285e000179b7a9")</f>
        <v/>
      </c>
      <c r="G443" t="inlineStr">
        <is>
          <t>Colliers</t>
        </is>
      </c>
      <c r="H443">
        <f>HYPERLINK("https://app.apollo.io/#/accounts/64aaf6c63d556a0001e8eda6")</f>
        <v/>
      </c>
      <c r="I443">
        <f>HYPERLINK("http://www.colliers.com/")</f>
        <v/>
      </c>
      <c r="J443">
        <f>HYPERLINK("http://www.linkedin.com/company/colliers")</f>
        <v/>
      </c>
      <c r="K443">
        <f>HYPERLINK("https://twitter.com/Colliers")</f>
        <v/>
      </c>
      <c r="L443">
        <f>HYPERLINK("https://facebook.com/colliersinternational/")</f>
        <v/>
      </c>
      <c r="M443" t="inlineStr">
        <is>
          <t>London, United Kingdom</t>
        </is>
      </c>
      <c r="N443" t="inlineStr">
        <is>
          <t>25,000</t>
        </is>
      </c>
      <c r="O443" t="inlineStr">
        <is>
          <t>Commercial Real Estate</t>
        </is>
      </c>
      <c r="P443" t="inlineStr">
        <is>
          <t>brokerage &amp; agency,corporate solutions</t>
        </is>
      </c>
      <c r="Q443" t="inlineStr">
        <is>
          <t>(702)-727-3783</t>
        </is>
      </c>
    </row>
    <row r="444">
      <c r="A444" t="inlineStr">
        <is>
          <t>648c7e0963bfd20001a2cd17</t>
        </is>
      </c>
      <c r="B444" t="inlineStr">
        <is>
          <t>Alan Woolley</t>
        </is>
      </c>
      <c r="C444">
        <f>HYPERLINK("http://www.linkedin.com/in/alan-woolley-36457712")</f>
        <v/>
      </c>
      <c r="D444" t="inlineStr">
        <is>
          <t>Not Found</t>
        </is>
      </c>
      <c r="E444" t="inlineStr">
        <is>
          <t>Director</t>
        </is>
      </c>
      <c r="F444">
        <f>HYPERLINK("https://app.apollo.io/#/people/648c7e0963bfd20001a2cd17")</f>
        <v/>
      </c>
      <c r="G444" t="inlineStr">
        <is>
          <t>Space4Work Ltd</t>
        </is>
      </c>
      <c r="H444">
        <f>HYPERLINK("https://app.apollo.io/#/organizations/54a1361769702d3e830ede00")</f>
        <v/>
      </c>
      <c r="I444">
        <f>HYPERLINK("http://www.space4work.com/")</f>
        <v/>
      </c>
      <c r="J444">
        <f>HYPERLINK("http://www.linkedin.com/company/space4work-ltd")</f>
        <v/>
      </c>
      <c r="K444">
        <f>HYPERLINK("Not Found")</f>
        <v/>
      </c>
      <c r="L444">
        <f>HYPERLINK("Not Found")</f>
        <v/>
      </c>
      <c r="M444" t="inlineStr">
        <is>
          <t>Derby, United Kingdom</t>
        </is>
      </c>
      <c r="N444" t="inlineStr">
        <is>
          <t>4</t>
        </is>
      </c>
      <c r="O444" t="inlineStr">
        <is>
          <t>Commercial Real Estate</t>
        </is>
      </c>
      <c r="P444" t="inlineStr">
        <is>
          <t>flexible tenancy,business networks,admin support</t>
        </is>
      </c>
      <c r="Q444" t="inlineStr">
        <is>
          <t>Not Found</t>
        </is>
      </c>
    </row>
    <row r="445">
      <c r="A445" t="inlineStr">
        <is>
          <t>60d0fcf09c89a40001209893</t>
        </is>
      </c>
      <c r="B445" t="inlineStr">
        <is>
          <t>Andy Price</t>
        </is>
      </c>
      <c r="C445">
        <f>HYPERLINK("http://www.linkedin.com/in/andy-price-b98143205")</f>
        <v/>
      </c>
      <c r="D445" t="inlineStr">
        <is>
          <t>Not Found</t>
        </is>
      </c>
      <c r="E445" t="inlineStr">
        <is>
          <t>Director</t>
        </is>
      </c>
      <c r="F445">
        <f>HYPERLINK("https://app.apollo.io/#/people/60d0fcf09c89a40001209893")</f>
        <v/>
      </c>
      <c r="G445" t="inlineStr">
        <is>
          <t>AP Investment</t>
        </is>
      </c>
      <c r="H445">
        <f>HYPERLINK("https://app.apollo.io/#/organizations/5ed33a9eb1c1a3000179514f")</f>
        <v/>
      </c>
      <c r="I445">
        <f>HYPERLINK("http://www.apinvestment.co.uk/")</f>
        <v/>
      </c>
      <c r="J445">
        <f>HYPERLINK("http://www.linkedin.com/company/ap-investment")</f>
        <v/>
      </c>
      <c r="K445">
        <f>HYPERLINK("Not Found")</f>
        <v/>
      </c>
      <c r="L445">
        <f>HYPERLINK("Not Found")</f>
        <v/>
      </c>
      <c r="M445" t="inlineStr">
        <is>
          <t>Warwick, United Kingdom</t>
        </is>
      </c>
      <c r="N445" t="inlineStr">
        <is>
          <t>2</t>
        </is>
      </c>
      <c r="O445" t="inlineStr">
        <is>
          <t>Commercial Real Estate</t>
        </is>
      </c>
      <c r="P445" t="inlineStr">
        <is>
          <t>commercial real estate,commercial property investment</t>
        </is>
      </c>
      <c r="Q445" t="inlineStr">
        <is>
          <t>Not Found</t>
        </is>
      </c>
    </row>
    <row r="446">
      <c r="A446" t="inlineStr">
        <is>
          <t>61f3bbd3889b81000147a11c</t>
        </is>
      </c>
      <c r="B446" t="inlineStr">
        <is>
          <t>Farwa Malik</t>
        </is>
      </c>
      <c r="C446">
        <f>HYPERLINK("http://www.linkedin.com/in/farwa-malik-b77b31141")</f>
        <v/>
      </c>
      <c r="D446" t="inlineStr">
        <is>
          <t>farwa@mcbrealestate.co.uk</t>
        </is>
      </c>
      <c r="E446" t="inlineStr">
        <is>
          <t>Director</t>
        </is>
      </c>
      <c r="F446">
        <f>HYPERLINK("https://app.apollo.io/#/people/61f3bbd3889b81000147a11c")</f>
        <v/>
      </c>
      <c r="G446" t="inlineStr">
        <is>
          <t>MCB Real Estate</t>
        </is>
      </c>
      <c r="H446">
        <f>HYPERLINK("https://app.apollo.io/#/organizations/54a1359769702d48e20aa800")</f>
        <v/>
      </c>
      <c r="I446">
        <f>HYPERLINK("http://www.mcbrealestate.com/")</f>
        <v/>
      </c>
      <c r="J446">
        <f>HYPERLINK("http://www.linkedin.com/company/mcb-real-estate")</f>
        <v/>
      </c>
      <c r="K446">
        <f>HYPERLINK("https://twitter.com/mcbrebaltimore")</f>
        <v/>
      </c>
      <c r="L446">
        <f>HYPERLINK("Not Found")</f>
        <v/>
      </c>
      <c r="M446" t="inlineStr">
        <is>
          <t>London, United Kingdom</t>
        </is>
      </c>
      <c r="N446" t="inlineStr">
        <is>
          <t>82</t>
        </is>
      </c>
      <c r="O446" t="inlineStr">
        <is>
          <t>Commercial Real Estate</t>
        </is>
      </c>
      <c r="P446" t="inlineStr">
        <is>
          <t>commercial real estate,retail real estate</t>
        </is>
      </c>
      <c r="Q446" t="inlineStr">
        <is>
          <t>(410)-662-0104</t>
        </is>
      </c>
    </row>
    <row r="447">
      <c r="A447" t="inlineStr">
        <is>
          <t>557060327369640c95847600</t>
        </is>
      </c>
      <c r="B447" t="inlineStr">
        <is>
          <t>Emma Strang</t>
        </is>
      </c>
      <c r="C447">
        <f>HYPERLINK("http://www.linkedin.com/in/emma-strang-2759355a")</f>
        <v/>
      </c>
      <c r="D447" t="inlineStr">
        <is>
          <t>emma.strang@colliers.com</t>
        </is>
      </c>
      <c r="E447" t="inlineStr">
        <is>
          <t>Director</t>
        </is>
      </c>
      <c r="F447">
        <f>HYPERLINK("https://app.apollo.io/#/people/557060327369640c95847600")</f>
        <v/>
      </c>
      <c r="G447" t="inlineStr">
        <is>
          <t>Colliers</t>
        </is>
      </c>
      <c r="H447">
        <f>HYPERLINK("https://app.apollo.io/#/accounts/64aaf6c63d556a0001e8eda6")</f>
        <v/>
      </c>
      <c r="I447">
        <f>HYPERLINK("http://www.colliers.com/")</f>
        <v/>
      </c>
      <c r="J447">
        <f>HYPERLINK("http://www.linkedin.com/company/colliers")</f>
        <v/>
      </c>
      <c r="K447">
        <f>HYPERLINK("https://twitter.com/Colliers")</f>
        <v/>
      </c>
      <c r="L447">
        <f>HYPERLINK("https://facebook.com/colliersinternational/")</f>
        <v/>
      </c>
      <c r="M447" t="inlineStr">
        <is>
          <t>London, United Kingdom</t>
        </is>
      </c>
      <c r="N447" t="inlineStr">
        <is>
          <t>25,000</t>
        </is>
      </c>
      <c r="O447" t="inlineStr">
        <is>
          <t>Commercial Real Estate</t>
        </is>
      </c>
      <c r="P447" t="inlineStr">
        <is>
          <t>brokerage &amp; agency,corporate solutions</t>
        </is>
      </c>
      <c r="Q447" t="inlineStr">
        <is>
          <t>(702)-727-3783</t>
        </is>
      </c>
    </row>
    <row r="448">
      <c r="A448" t="inlineStr">
        <is>
          <t>5ae86a2da6da983099c221d1</t>
        </is>
      </c>
      <c r="B448" t="inlineStr">
        <is>
          <t>Matthew Wright</t>
        </is>
      </c>
      <c r="C448">
        <f>HYPERLINK("http://www.linkedin.com/in/matthew-wright-0b1a5253")</f>
        <v/>
      </c>
      <c r="D448" t="inlineStr">
        <is>
          <t>matthewwright@hrt.uk.com</t>
        </is>
      </c>
      <c r="E448" t="inlineStr">
        <is>
          <t>Director</t>
        </is>
      </c>
      <c r="F448">
        <f>HYPERLINK("https://app.apollo.io/#/people/5ae86a2da6da983099c221d1")</f>
        <v/>
      </c>
      <c r="G448" t="inlineStr">
        <is>
          <t>Herbert R Thomas</t>
        </is>
      </c>
      <c r="H448">
        <f>HYPERLINK("https://app.apollo.io/#/accounts/6578bf6eccf69c02cc54f294")</f>
        <v/>
      </c>
      <c r="I448">
        <f>HYPERLINK("http://www.hrt.uk.com/")</f>
        <v/>
      </c>
      <c r="J448">
        <f>HYPERLINK("http://www.linkedin.com/company/herbert-r-thomas")</f>
        <v/>
      </c>
      <c r="K448">
        <f>HYPERLINK("https://twitter.com/HerbertRThomas")</f>
        <v/>
      </c>
      <c r="L448">
        <f>HYPERLINK("https://www.facebook.com/Herbert-R-Thomas-247651058594338/")</f>
        <v/>
      </c>
      <c r="M448" t="inlineStr">
        <is>
          <t>Cardiff, United Kingdom</t>
        </is>
      </c>
      <c r="N448" t="inlineStr">
        <is>
          <t>34</t>
        </is>
      </c>
      <c r="O448" t="inlineStr">
        <is>
          <t>Commercial Real Estate</t>
        </is>
      </c>
      <c r="P448" t="inlineStr">
        <is>
          <t>surveying,valuers,estate agents,agriculture</t>
        </is>
      </c>
      <c r="Q448" t="inlineStr">
        <is>
          <t>+441446772911</t>
        </is>
      </c>
    </row>
    <row r="449">
      <c r="A449" t="inlineStr">
        <is>
          <t>57dfa258a6da980b4a0a5148</t>
        </is>
      </c>
      <c r="B449" t="inlineStr">
        <is>
          <t>Laurence Richardson</t>
        </is>
      </c>
      <c r="C449">
        <f>HYPERLINK("http://www.linkedin.com/in/laurence-richardson-26356349")</f>
        <v/>
      </c>
      <c r="D449" t="inlineStr">
        <is>
          <t>laurence.richardson@colliers.com</t>
        </is>
      </c>
      <c r="E449" t="inlineStr">
        <is>
          <t>Director</t>
        </is>
      </c>
      <c r="F449">
        <f>HYPERLINK("https://app.apollo.io/#/people/57dfa258a6da980b4a0a5148")</f>
        <v/>
      </c>
      <c r="G449" t="inlineStr">
        <is>
          <t>Colliers</t>
        </is>
      </c>
      <c r="H449">
        <f>HYPERLINK("https://app.apollo.io/#/accounts/64aaf6c63d556a0001e8eda6")</f>
        <v/>
      </c>
      <c r="I449">
        <f>HYPERLINK("http://www.colliers.com/")</f>
        <v/>
      </c>
      <c r="J449">
        <f>HYPERLINK("http://www.linkedin.com/company/colliers")</f>
        <v/>
      </c>
      <c r="K449">
        <f>HYPERLINK("https://twitter.com/Colliers")</f>
        <v/>
      </c>
      <c r="L449">
        <f>HYPERLINK("https://facebook.com/colliersinternational/")</f>
        <v/>
      </c>
      <c r="M449" t="inlineStr">
        <is>
          <t>United Kingdom</t>
        </is>
      </c>
      <c r="N449" t="inlineStr">
        <is>
          <t>25,000</t>
        </is>
      </c>
      <c r="O449" t="inlineStr">
        <is>
          <t>Commercial Real Estate</t>
        </is>
      </c>
      <c r="P449" t="inlineStr">
        <is>
          <t>brokerage &amp; agency,corporate solutions</t>
        </is>
      </c>
      <c r="Q449" t="inlineStr">
        <is>
          <t>(702)-727-3783</t>
        </is>
      </c>
    </row>
    <row r="450">
      <c r="A450" t="inlineStr">
        <is>
          <t>557148ff73696452f9294a00</t>
        </is>
      </c>
      <c r="B450" t="inlineStr">
        <is>
          <t>Geoff Tindsley</t>
        </is>
      </c>
      <c r="C450">
        <f>HYPERLINK("http://www.linkedin.com/in/geoff-tindsley-45564642")</f>
        <v/>
      </c>
      <c r="D450" t="inlineStr">
        <is>
          <t>geoff.tindsley@edgeps.co.uk</t>
        </is>
      </c>
      <c r="E450" t="inlineStr">
        <is>
          <t>Director</t>
        </is>
      </c>
      <c r="F450">
        <f>HYPERLINK("https://app.apollo.io/#/people/557148ff73696452f9294a00")</f>
        <v/>
      </c>
      <c r="G450" t="inlineStr">
        <is>
          <t>EDGE</t>
        </is>
      </c>
      <c r="H450">
        <f>HYPERLINK("https://app.apollo.io/#/organizations/60f6ae15c460c80001da0221")</f>
        <v/>
      </c>
      <c r="I450">
        <f>HYPERLINK("http://www.edge.tech/")</f>
        <v/>
      </c>
      <c r="J450">
        <f>HYPERLINK("http://www.linkedin.com/company/edge-real-tech")</f>
        <v/>
      </c>
      <c r="K450">
        <f>HYPERLINK("https://twitter.com/edgetech_")</f>
        <v/>
      </c>
      <c r="L450">
        <f>HYPERLINK("Not Found")</f>
        <v/>
      </c>
      <c r="M450" t="inlineStr">
        <is>
          <t>England, United Kingdom</t>
        </is>
      </c>
      <c r="N450" t="inlineStr">
        <is>
          <t>180</t>
        </is>
      </c>
      <c r="O450" t="inlineStr">
        <is>
          <t>Commercial Real Estate</t>
        </is>
      </c>
      <c r="P450" t="inlineStr">
        <is>
          <t>circular economy,building development</t>
        </is>
      </c>
      <c r="Q450" t="inlineStr">
        <is>
          <t>+31881701000</t>
        </is>
      </c>
    </row>
    <row r="451">
      <c r="A451" t="inlineStr">
        <is>
          <t>54a4b5bb74686936764ef55c</t>
        </is>
      </c>
      <c r="B451" t="inlineStr">
        <is>
          <t>Richard Farndale</t>
        </is>
      </c>
      <c r="C451">
        <f>HYPERLINK("http://www.linkedin.com/in/richard-farndale-8a0b918")</f>
        <v/>
      </c>
      <c r="D451" t="inlineStr">
        <is>
          <t>r.farndale@martincampbell.co.uk</t>
        </is>
      </c>
      <c r="E451" t="inlineStr">
        <is>
          <t>Director</t>
        </is>
      </c>
      <c r="F451">
        <f>HYPERLINK("https://app.apollo.io/#/people/54a4b5bb74686936764ef55c")</f>
        <v/>
      </c>
      <c r="G451" t="inlineStr">
        <is>
          <t>Martin Campbell &amp; Co</t>
        </is>
      </c>
      <c r="H451">
        <f>HYPERLINK("https://app.apollo.io/#/organizations/5569b0f173696425cb837b00")</f>
        <v/>
      </c>
      <c r="I451">
        <f>HYPERLINK("http://www.martincampbell.co.uk/")</f>
        <v/>
      </c>
      <c r="J451">
        <f>HYPERLINK("http://www.linkedin.com/company/martin-campbell-&amp;-co")</f>
        <v/>
      </c>
      <c r="K451">
        <f>HYPERLINK("Not Found")</f>
        <v/>
      </c>
      <c r="L451">
        <f>HYPERLINK("Not Found")</f>
        <v/>
      </c>
      <c r="M451" t="inlineStr">
        <is>
          <t>Richmond, United Kingdom</t>
        </is>
      </c>
      <c r="N451" t="inlineStr">
        <is>
          <t>1</t>
        </is>
      </c>
      <c r="O451" t="inlineStr">
        <is>
          <t>Commercial Real Estate</t>
        </is>
      </c>
      <c r="P451" t="inlineStr">
        <is>
          <t>leading commercial agent in the borough of richmond upon thames</t>
        </is>
      </c>
      <c r="Q451" t="inlineStr">
        <is>
          <t>+442089402266</t>
        </is>
      </c>
    </row>
    <row r="452">
      <c r="A452" t="inlineStr">
        <is>
          <t>54c18d7a7468697af72c1421</t>
        </is>
      </c>
      <c r="B452" t="inlineStr">
        <is>
          <t>Mark Sherrell</t>
        </is>
      </c>
      <c r="C452">
        <f>HYPERLINK("http://www.linkedin.com/in/wattstechnicalduediligence")</f>
        <v/>
      </c>
      <c r="D452" t="inlineStr">
        <is>
          <t>marksherrell@paragonbc.co.uk</t>
        </is>
      </c>
      <c r="E452" t="inlineStr">
        <is>
          <t>Director</t>
        </is>
      </c>
      <c r="F452">
        <f>HYPERLINK("https://app.apollo.io/#/people/54c18d7a7468697af72c1421")</f>
        <v/>
      </c>
      <c r="G452" t="inlineStr">
        <is>
          <t>Colliers</t>
        </is>
      </c>
      <c r="H452">
        <f>HYPERLINK("https://app.apollo.io/#/accounts/64aaf6c63d556a0001e8eda6")</f>
        <v/>
      </c>
      <c r="I452">
        <f>HYPERLINK("http://www.colliers.com/")</f>
        <v/>
      </c>
      <c r="J452">
        <f>HYPERLINK("http://www.linkedin.com/company/colliers")</f>
        <v/>
      </c>
      <c r="K452">
        <f>HYPERLINK("https://twitter.com/Colliers")</f>
        <v/>
      </c>
      <c r="L452">
        <f>HYPERLINK("https://facebook.com/colliersinternational/")</f>
        <v/>
      </c>
      <c r="M452" t="inlineStr">
        <is>
          <t>London, United Kingdom</t>
        </is>
      </c>
      <c r="N452" t="inlineStr">
        <is>
          <t>25,000</t>
        </is>
      </c>
      <c r="O452" t="inlineStr">
        <is>
          <t>Commercial Real Estate</t>
        </is>
      </c>
      <c r="P452" t="inlineStr">
        <is>
          <t>brokerage &amp; agency,corporate solutions</t>
        </is>
      </c>
      <c r="Q452" t="inlineStr">
        <is>
          <t>(702)-727-3783</t>
        </is>
      </c>
    </row>
    <row r="453">
      <c r="A453" t="inlineStr">
        <is>
          <t>618538bb77a9e40001427568</t>
        </is>
      </c>
      <c r="B453" t="inlineStr">
        <is>
          <t>Alys Thomas</t>
        </is>
      </c>
      <c r="C453">
        <f>HYPERLINK("http://www.linkedin.com/in/alys-thomas-a7a70555")</f>
        <v/>
      </c>
      <c r="D453" t="inlineStr">
        <is>
          <t>alys.thomas@colliers.com</t>
        </is>
      </c>
      <c r="E453" t="inlineStr">
        <is>
          <t>Director</t>
        </is>
      </c>
      <c r="F453">
        <f>HYPERLINK("https://app.apollo.io/#/people/618538bb77a9e40001427568")</f>
        <v/>
      </c>
      <c r="G453" t="inlineStr">
        <is>
          <t>Colliers</t>
        </is>
      </c>
      <c r="H453">
        <f>HYPERLINK("https://app.apollo.io/#/accounts/64aaf6c63d556a0001e8eda6")</f>
        <v/>
      </c>
      <c r="I453">
        <f>HYPERLINK("http://www.colliers.com/")</f>
        <v/>
      </c>
      <c r="J453">
        <f>HYPERLINK("http://www.linkedin.com/company/colliers")</f>
        <v/>
      </c>
      <c r="K453">
        <f>HYPERLINK("https://twitter.com/Colliers")</f>
        <v/>
      </c>
      <c r="L453">
        <f>HYPERLINK("https://facebook.com/colliersinternational/")</f>
        <v/>
      </c>
      <c r="M453" t="inlineStr">
        <is>
          <t>London, United Kingdom</t>
        </is>
      </c>
      <c r="N453" t="inlineStr">
        <is>
          <t>25,000</t>
        </is>
      </c>
      <c r="O453" t="inlineStr">
        <is>
          <t>Commercial Real Estate</t>
        </is>
      </c>
      <c r="P453" t="inlineStr">
        <is>
          <t>brokerage &amp; agency,corporate solutions</t>
        </is>
      </c>
      <c r="Q453" t="inlineStr">
        <is>
          <t>(702)-727-3783</t>
        </is>
      </c>
    </row>
    <row r="454">
      <c r="A454" t="inlineStr">
        <is>
          <t>54a53ff47468693442b4e788</t>
        </is>
      </c>
      <c r="B454" t="inlineStr">
        <is>
          <t>Ian Jeavons</t>
        </is>
      </c>
      <c r="C454">
        <f>HYPERLINK("http://www.linkedin.com/in/ian-jeavons-7299792a")</f>
        <v/>
      </c>
      <c r="D454" t="inlineStr">
        <is>
          <t>Not Found</t>
        </is>
      </c>
      <c r="E454" t="inlineStr">
        <is>
          <t>Director</t>
        </is>
      </c>
      <c r="F454">
        <f>HYPERLINK("https://app.apollo.io/#/people/54a53ff47468693442b4e788")</f>
        <v/>
      </c>
      <c r="G454" t="inlineStr">
        <is>
          <t>ISJ Property Consultants</t>
        </is>
      </c>
      <c r="H454">
        <f>HYPERLINK("https://app.apollo.io/#/organizations/5e57c7ff54c3e10001ab5ea4")</f>
        <v/>
      </c>
      <c r="I454">
        <f>HYPERLINK("http://www.isjpropertyconsultants.co.uk/")</f>
        <v/>
      </c>
      <c r="J454">
        <f>HYPERLINK("http://www.linkedin.com/company/isj-property-consultants")</f>
        <v/>
      </c>
      <c r="K454">
        <f>HYPERLINK("Not Found")</f>
        <v/>
      </c>
      <c r="L454">
        <f>HYPERLINK("Not Found")</f>
        <v/>
      </c>
      <c r="M454" t="inlineStr">
        <is>
          <t>England, United Kingdom</t>
        </is>
      </c>
      <c r="N454" t="inlineStr">
        <is>
          <t>1</t>
        </is>
      </c>
      <c r="O454" t="inlineStr">
        <is>
          <t>Commercial Real Estate</t>
        </is>
      </c>
      <c r="P454" t="inlineStr">
        <is>
          <t>landlord &amp; tenant,acquisitions &amp; disposals</t>
        </is>
      </c>
      <c r="Q454" t="inlineStr">
        <is>
          <t>Not Found</t>
        </is>
      </c>
    </row>
    <row r="455">
      <c r="A455" t="inlineStr">
        <is>
          <t>54a4256d7468692fa2520630</t>
        </is>
      </c>
      <c r="B455" t="inlineStr">
        <is>
          <t>Ben Batchelor-Wylam</t>
        </is>
      </c>
      <c r="C455">
        <f>HYPERLINK("http://www.linkedin.com/in/ben-batchelor-wylam-b9867a51")</f>
        <v/>
      </c>
      <c r="D455" t="inlineStr">
        <is>
          <t>ben.batchelor-wylam@colliers.com</t>
        </is>
      </c>
      <c r="E455" t="inlineStr">
        <is>
          <t>Director</t>
        </is>
      </c>
      <c r="F455">
        <f>HYPERLINK("https://app.apollo.io/#/people/54a4256d7468692fa2520630")</f>
        <v/>
      </c>
      <c r="G455" t="inlineStr">
        <is>
          <t>Colliers</t>
        </is>
      </c>
      <c r="H455">
        <f>HYPERLINK("https://app.apollo.io/#/accounts/6578c2e248f92e02cc97a7cd")</f>
        <v/>
      </c>
      <c r="I455">
        <f>HYPERLINK("http://www.colliers.com/")</f>
        <v/>
      </c>
      <c r="J455">
        <f>HYPERLINK("http://www.linkedin.com/company/colliers")</f>
        <v/>
      </c>
      <c r="K455">
        <f>HYPERLINK("https://twitter.com/collierscanada")</f>
        <v/>
      </c>
      <c r="L455">
        <f>HYPERLINK("Not Found")</f>
        <v/>
      </c>
      <c r="M455" t="inlineStr">
        <is>
          <t>Bristol, United Kingdom</t>
        </is>
      </c>
      <c r="N455" t="inlineStr">
        <is>
          <t>25,000</t>
        </is>
      </c>
      <c r="O455" t="inlineStr">
        <is>
          <t>Commercial Real Estate</t>
        </is>
      </c>
      <c r="P455" t="inlineStr">
        <is>
          <t>brokerage &amp; agency,corporate solutions</t>
        </is>
      </c>
      <c r="Q455" t="inlineStr">
        <is>
          <t>(416)-777-2200</t>
        </is>
      </c>
    </row>
    <row r="456">
      <c r="A456" t="inlineStr">
        <is>
          <t>5b2c6b1ea6da98c552250f88</t>
        </is>
      </c>
      <c r="B456" t="inlineStr">
        <is>
          <t>Paul Wells</t>
        </is>
      </c>
      <c r="C456">
        <f>HYPERLINK("http://www.linkedin.com/in/paul-wells-b639a012")</f>
        <v/>
      </c>
      <c r="D456" t="inlineStr">
        <is>
          <t>paul.wells@harrislamb.com</t>
        </is>
      </c>
      <c r="E456" t="inlineStr">
        <is>
          <t>Director</t>
        </is>
      </c>
      <c r="F456">
        <f>HYPERLINK("https://app.apollo.io/#/people/5b2c6b1ea6da98c552250f88")</f>
        <v/>
      </c>
      <c r="G456" t="inlineStr">
        <is>
          <t>Harris Lamb</t>
        </is>
      </c>
      <c r="H456">
        <f>HYPERLINK("https://app.apollo.io/#/organizations/54a12a6d69702d979c072202")</f>
        <v/>
      </c>
      <c r="I456">
        <f>HYPERLINK("http://www.harrislamb.com/")</f>
        <v/>
      </c>
      <c r="J456">
        <f>HYPERLINK("http://www.linkedin.com/company/harris-lamb")</f>
        <v/>
      </c>
      <c r="K456">
        <f>HYPERLINK("https://twitter.com/harris_lamb")</f>
        <v/>
      </c>
      <c r="L456">
        <f>HYPERLINK("https://www.facebook.com/HarrisLamb")</f>
        <v/>
      </c>
      <c r="M456" t="inlineStr">
        <is>
          <t>England, United Kingdom</t>
        </is>
      </c>
      <c r="N456" t="inlineStr">
        <is>
          <t>69</t>
        </is>
      </c>
      <c r="O456" t="inlineStr">
        <is>
          <t>Commercial Real Estate</t>
        </is>
      </c>
      <c r="P456" t="inlineStr">
        <is>
          <t>commercial real estate,property consultancy</t>
        </is>
      </c>
      <c r="Q456" t="inlineStr">
        <is>
          <t>+441214559455</t>
        </is>
      </c>
    </row>
    <row r="457">
      <c r="A457" t="inlineStr">
        <is>
          <t>6389ea38ea132b000129cb53</t>
        </is>
      </c>
      <c r="B457" t="inlineStr">
        <is>
          <t>Daniel Jebreel</t>
        </is>
      </c>
      <c r="C457">
        <f>HYPERLINK("http://www.linkedin.com/in/daniel-jebreel-82a0484a")</f>
        <v/>
      </c>
      <c r="D457" t="inlineStr">
        <is>
          <t>daniel@equinoxproperties.co.uk</t>
        </is>
      </c>
      <c r="E457" t="inlineStr">
        <is>
          <t>Director</t>
        </is>
      </c>
      <c r="F457">
        <f>HYPERLINK("https://app.apollo.io/#/people/6389ea38ea132b000129cb53")</f>
        <v/>
      </c>
      <c r="G457" t="inlineStr">
        <is>
          <t>Equinox Properties</t>
        </is>
      </c>
      <c r="H457">
        <f>HYPERLINK("https://app.apollo.io/#/organizations/54a1353969702d2f9f86e800")</f>
        <v/>
      </c>
      <c r="I457">
        <f>HYPERLINK("http://www.seattlespace.com/")</f>
        <v/>
      </c>
      <c r="J457">
        <f>HYPERLINK("http://www.linkedin.com/company/equinox-properties")</f>
        <v/>
      </c>
      <c r="K457">
        <f>HYPERLINK("Not Found")</f>
        <v/>
      </c>
      <c r="L457">
        <f>HYPERLINK("Not Found")</f>
        <v/>
      </c>
      <c r="M457" t="inlineStr">
        <is>
          <t>Manchester, United Kingdom</t>
        </is>
      </c>
      <c r="N457" t="inlineStr">
        <is>
          <t>11</t>
        </is>
      </c>
      <c r="O457" t="inlineStr">
        <is>
          <t>Commercial Real Estate</t>
        </is>
      </c>
      <c r="P457" t="inlineStr">
        <is>
          <t>commercial real estate,real estate,real estate services</t>
        </is>
      </c>
      <c r="Q457" t="inlineStr">
        <is>
          <t>(206)-547-7722</t>
        </is>
      </c>
    </row>
    <row r="458">
      <c r="A458" t="inlineStr">
        <is>
          <t>54a333577468693825a3f75b</t>
        </is>
      </c>
      <c r="B458" t="inlineStr">
        <is>
          <t>Kevin Stuart</t>
        </is>
      </c>
      <c r="C458">
        <f>HYPERLINK("http://www.linkedin.com/in/kevin-stuart-092a8b54")</f>
        <v/>
      </c>
      <c r="D458" t="inlineStr">
        <is>
          <t>kevin@innesbc.com</t>
        </is>
      </c>
      <c r="E458" t="inlineStr">
        <is>
          <t>Director</t>
        </is>
      </c>
      <c r="F458">
        <f>HYPERLINK("https://app.apollo.io/#/people/54a333577468693825a3f75b")</f>
        <v/>
      </c>
      <c r="G458" t="inlineStr">
        <is>
          <t>Innes Building Consultancy</t>
        </is>
      </c>
      <c r="H458">
        <f>HYPERLINK("https://app.apollo.io/#/accounts/6578c2bb48f92e01ae97ba8f")</f>
        <v/>
      </c>
      <c r="I458">
        <f>HYPERLINK("http://www.innesbc.com/")</f>
        <v/>
      </c>
      <c r="J458">
        <f>HYPERLINK("http://www.linkedin.com/company/innes-associates-building-consultancy")</f>
        <v/>
      </c>
      <c r="K458">
        <f>HYPERLINK("Not Found")</f>
        <v/>
      </c>
      <c r="L458">
        <f>HYPERLINK("Not Found")</f>
        <v/>
      </c>
      <c r="M458" t="inlineStr">
        <is>
          <t>United Kingdom</t>
        </is>
      </c>
      <c r="N458" t="inlineStr">
        <is>
          <t>8</t>
        </is>
      </c>
      <c r="O458" t="inlineStr">
        <is>
          <t>Commercial Real Estate</t>
        </is>
      </c>
      <c r="P458" t="inlineStr">
        <is>
          <t>project &amp; relocation management,building surveys</t>
        </is>
      </c>
      <c r="Q458" t="inlineStr">
        <is>
          <t>+447834767350</t>
        </is>
      </c>
    </row>
    <row r="459">
      <c r="A459" t="inlineStr">
        <is>
          <t>5e6f57b1156474000180b5b1</t>
        </is>
      </c>
      <c r="B459" t="inlineStr">
        <is>
          <t>Daniel Lee</t>
        </is>
      </c>
      <c r="C459">
        <f>HYPERLINK("http://www.linkedin.com/in/daniel-lee-mrics-a4748427")</f>
        <v/>
      </c>
      <c r="D459" t="inlineStr">
        <is>
          <t>Not Found</t>
        </is>
      </c>
      <c r="E459" t="inlineStr">
        <is>
          <t>Director</t>
        </is>
      </c>
      <c r="F459">
        <f>HYPERLINK("https://app.apollo.io/#/people/5e6f57b1156474000180b5b1")</f>
        <v/>
      </c>
      <c r="G459" t="inlineStr">
        <is>
          <t>Regional Property Solutions</t>
        </is>
      </c>
      <c r="H459">
        <f>HYPERLINK("https://app.apollo.io/#/organizations/55eb004af3e5bb03e8003a98")</f>
        <v/>
      </c>
      <c r="I459">
        <f>HYPERLINK("http://www.r-p-s.co.uk/")</f>
        <v/>
      </c>
      <c r="J459">
        <f>HYPERLINK("http://www.linkedin.com/company/regional-property-solutions")</f>
        <v/>
      </c>
      <c r="K459">
        <f>HYPERLINK("Not Found")</f>
        <v/>
      </c>
      <c r="L459">
        <f>HYPERLINK("Not Found")</f>
        <v/>
      </c>
      <c r="M459" t="inlineStr">
        <is>
          <t>Altrincham, United Kingdom</t>
        </is>
      </c>
      <c r="N459" t="inlineStr">
        <is>
          <t>6</t>
        </is>
      </c>
      <c r="O459" t="inlineStr">
        <is>
          <t>Commercial Real Estate</t>
        </is>
      </c>
      <c r="P459" t="inlineStr">
        <is>
          <t>building consultancy,valuation,agency</t>
        </is>
      </c>
      <c r="Q459" t="inlineStr">
        <is>
          <t>Not Found</t>
        </is>
      </c>
    </row>
    <row r="460">
      <c r="A460" t="inlineStr">
        <is>
          <t>5aceb52fa6da98d1b46861f5</t>
        </is>
      </c>
      <c r="B460" t="inlineStr">
        <is>
          <t>Andrew Hancock</t>
        </is>
      </c>
      <c r="C460">
        <f>HYPERLINK("http://www.linkedin.com/in/andrew-hancock-2a9a8b24")</f>
        <v/>
      </c>
      <c r="D460" t="inlineStr">
        <is>
          <t>Not Found</t>
        </is>
      </c>
      <c r="E460" t="inlineStr">
        <is>
          <t>Director</t>
        </is>
      </c>
      <c r="F460">
        <f>HYPERLINK("https://app.apollo.io/#/people/5aceb52fa6da98d1b46861f5")</f>
        <v/>
      </c>
      <c r="G460" t="inlineStr">
        <is>
          <t>Keygrove Chartered Surveyors</t>
        </is>
      </c>
      <c r="H460">
        <f>HYPERLINK("https://app.apollo.io/#/organizations/54a129e469702dc128919801")</f>
        <v/>
      </c>
      <c r="I460">
        <f>HYPERLINK("http://www.keygrove.com/")</f>
        <v/>
      </c>
      <c r="J460">
        <f>HYPERLINK("http://www.linkedin.com/company/keygrove-chartered-surveyors")</f>
        <v/>
      </c>
      <c r="K460">
        <f>HYPERLINK("https://twitter.com/Keygrove")</f>
        <v/>
      </c>
      <c r="L460">
        <f>HYPERLINK("Not Found")</f>
        <v/>
      </c>
      <c r="M460" t="inlineStr">
        <is>
          <t>Bournemouth, United Kingdom</t>
        </is>
      </c>
      <c r="N460" t="inlineStr">
        <is>
          <t>7</t>
        </is>
      </c>
      <c r="O460" t="inlineStr">
        <is>
          <t>Commercial Real Estate</t>
        </is>
      </c>
      <c r="P460" t="inlineStr">
        <is>
          <t>commercial property agency,valuation</t>
        </is>
      </c>
      <c r="Q460" t="inlineStr">
        <is>
          <t>Not Found</t>
        </is>
      </c>
    </row>
    <row r="461">
      <c r="A461" t="inlineStr">
        <is>
          <t>55ccb767f3e5bb57430013d2</t>
        </is>
      </c>
      <c r="B461" t="inlineStr">
        <is>
          <t>San Tou</t>
        </is>
      </c>
      <c r="C461">
        <f>HYPERLINK("http://www.linkedin.com/in/san-tou-0321329")</f>
        <v/>
      </c>
      <c r="D461" t="inlineStr">
        <is>
          <t>Not Found</t>
        </is>
      </c>
      <c r="E461" t="inlineStr">
        <is>
          <t>Director</t>
        </is>
      </c>
      <c r="F461">
        <f>HYPERLINK("https://app.apollo.io/#/people/55ccb767f3e5bb57430013d2")</f>
        <v/>
      </c>
      <c r="G461" t="inlineStr">
        <is>
          <t>LDM Group</t>
        </is>
      </c>
      <c r="H461">
        <f>HYPERLINK("https://app.apollo.io/#/organizations/61ec202b9705930001d28585")</f>
        <v/>
      </c>
      <c r="I461">
        <f>HYPERLINK("http://www.ldmg.co.uk/")</f>
        <v/>
      </c>
      <c r="J461">
        <f>HYPERLINK("http://www.linkedin.com/company/ldmguk")</f>
        <v/>
      </c>
      <c r="K461">
        <f>HYPERLINK("Not Found")</f>
        <v/>
      </c>
      <c r="L461">
        <f>HYPERLINK("https://www.facebook.com/ldmgroup")</f>
        <v/>
      </c>
      <c r="M461" t="inlineStr">
        <is>
          <t>Manchester, United Kingdom</t>
        </is>
      </c>
      <c r="N461" t="inlineStr">
        <is>
          <t>6</t>
        </is>
      </c>
      <c r="O461" t="inlineStr">
        <is>
          <t>Commercial Real Estate</t>
        </is>
      </c>
      <c r="P461" t="inlineStr">
        <is>
          <t>property management,property design</t>
        </is>
      </c>
      <c r="Q461" t="inlineStr">
        <is>
          <t>Not Found</t>
        </is>
      </c>
    </row>
    <row r="462">
      <c r="A462" t="inlineStr">
        <is>
          <t>54a4c66e7468692abf6f6c62</t>
        </is>
      </c>
      <c r="B462" t="inlineStr">
        <is>
          <t>Martyn Edwards</t>
        </is>
      </c>
      <c r="C462">
        <f>HYPERLINK("http://www.linkedin.com/in/martyn-edwards-1435b015")</f>
        <v/>
      </c>
      <c r="D462" t="inlineStr">
        <is>
          <t>Not Found</t>
        </is>
      </c>
      <c r="E462" t="inlineStr">
        <is>
          <t>Director</t>
        </is>
      </c>
      <c r="F462">
        <f>HYPERLINK("https://app.apollo.io/#/people/54a4c66e7468692abf6f6c62")</f>
        <v/>
      </c>
      <c r="G462" t="inlineStr">
        <is>
          <t>Colliers</t>
        </is>
      </c>
      <c r="H462">
        <f>HYPERLINK("https://app.apollo.io/#/accounts/64aaf6c63d556a0001e8eda6")</f>
        <v/>
      </c>
      <c r="I462">
        <f>HYPERLINK("http://www.colliers.com/")</f>
        <v/>
      </c>
      <c r="J462">
        <f>HYPERLINK("http://www.linkedin.com/company/colliers")</f>
        <v/>
      </c>
      <c r="K462">
        <f>HYPERLINK("https://twitter.com/Colliers")</f>
        <v/>
      </c>
      <c r="L462">
        <f>HYPERLINK("https://facebook.com/colliersinternational/")</f>
        <v/>
      </c>
      <c r="M462" t="inlineStr">
        <is>
          <t>England, United Kingdom</t>
        </is>
      </c>
      <c r="N462" t="inlineStr">
        <is>
          <t>25,000</t>
        </is>
      </c>
      <c r="O462" t="inlineStr">
        <is>
          <t>Commercial Real Estate</t>
        </is>
      </c>
      <c r="P462" t="inlineStr">
        <is>
          <t>brokerage &amp; agency,corporate solutions</t>
        </is>
      </c>
      <c r="Q462" t="inlineStr">
        <is>
          <t>Not Found</t>
        </is>
      </c>
    </row>
    <row r="463">
      <c r="A463" t="inlineStr">
        <is>
          <t>57e17c88a6da987d6ffd565a</t>
        </is>
      </c>
      <c r="B463" t="inlineStr">
        <is>
          <t>Jo Edwards</t>
        </is>
      </c>
      <c r="C463">
        <f>HYPERLINK("http://www.linkedin.com/in/jo-edwards-96480735")</f>
        <v/>
      </c>
      <c r="D463" t="inlineStr">
        <is>
          <t>Not Found</t>
        </is>
      </c>
      <c r="E463" t="inlineStr">
        <is>
          <t>Director</t>
        </is>
      </c>
      <c r="F463">
        <f>HYPERLINK("https://app.apollo.io/#/people/57e17c88a6da987d6ffd565a")</f>
        <v/>
      </c>
      <c r="G463" t="inlineStr">
        <is>
          <t>Colliers</t>
        </is>
      </c>
      <c r="H463">
        <f>HYPERLINK("https://app.apollo.io/#/accounts/64aaf6c63d556a0001e8eda6")</f>
        <v/>
      </c>
      <c r="I463">
        <f>HYPERLINK("http://www.colliers.com/")</f>
        <v/>
      </c>
      <c r="J463">
        <f>HYPERLINK("http://www.linkedin.com/company/colliers")</f>
        <v/>
      </c>
      <c r="K463">
        <f>HYPERLINK("https://twitter.com/Colliers")</f>
        <v/>
      </c>
      <c r="L463">
        <f>HYPERLINK("https://facebook.com/colliersinternational/")</f>
        <v/>
      </c>
      <c r="M463" t="inlineStr">
        <is>
          <t>Bristol, United Kingdom</t>
        </is>
      </c>
      <c r="N463" t="inlineStr">
        <is>
          <t>25,000</t>
        </is>
      </c>
      <c r="O463" t="inlineStr">
        <is>
          <t>Commercial Real Estate</t>
        </is>
      </c>
      <c r="P463" t="inlineStr">
        <is>
          <t>brokerage &amp; agency,corporate solutions</t>
        </is>
      </c>
      <c r="Q463" t="inlineStr">
        <is>
          <t>Not Found</t>
        </is>
      </c>
    </row>
    <row r="464">
      <c r="A464" t="inlineStr">
        <is>
          <t>61d69e51185f810001e3cf1d</t>
        </is>
      </c>
      <c r="B464" t="inlineStr">
        <is>
          <t>Sara Simpson</t>
        </is>
      </c>
      <c r="C464">
        <f>HYPERLINK("http://www.linkedin.com/in/sara-simpson-52b55421")</f>
        <v/>
      </c>
      <c r="D464" t="inlineStr">
        <is>
          <t>Not Found</t>
        </is>
      </c>
      <c r="E464" t="inlineStr">
        <is>
          <t>Director</t>
        </is>
      </c>
      <c r="F464">
        <f>HYPERLINK("https://app.apollo.io/#/people/61d69e51185f810001e3cf1d")</f>
        <v/>
      </c>
      <c r="G464" t="inlineStr">
        <is>
          <t>Colliers</t>
        </is>
      </c>
      <c r="H464">
        <f>HYPERLINK("https://app.apollo.io/#/accounts/64aaf6c63d556a0001e8eda6")</f>
        <v/>
      </c>
      <c r="I464">
        <f>HYPERLINK("http://www.colliers.com/")</f>
        <v/>
      </c>
      <c r="J464">
        <f>HYPERLINK("http://www.linkedin.com/company/colliers")</f>
        <v/>
      </c>
      <c r="K464">
        <f>HYPERLINK("https://twitter.com/Colliers")</f>
        <v/>
      </c>
      <c r="L464">
        <f>HYPERLINK("https://facebook.com/colliersinternational/")</f>
        <v/>
      </c>
      <c r="M464" t="inlineStr">
        <is>
          <t>London, United Kingdom</t>
        </is>
      </c>
      <c r="N464" t="inlineStr">
        <is>
          <t>25,000</t>
        </is>
      </c>
      <c r="O464" t="inlineStr">
        <is>
          <t>Commercial Real Estate</t>
        </is>
      </c>
      <c r="P464" t="inlineStr">
        <is>
          <t>brokerage &amp; agency,corporate solutions</t>
        </is>
      </c>
      <c r="Q464" t="inlineStr">
        <is>
          <t>Not Found</t>
        </is>
      </c>
    </row>
    <row r="465">
      <c r="A465" t="inlineStr">
        <is>
          <t>57dd4779a6da987aec2023db</t>
        </is>
      </c>
      <c r="B465" t="inlineStr">
        <is>
          <t>Eve Barraclough</t>
        </is>
      </c>
      <c r="C465">
        <f>HYPERLINK("http://www.linkedin.com/in/eve-barraclough-99aaa938")</f>
        <v/>
      </c>
      <c r="D465" t="inlineStr">
        <is>
          <t>Not Found</t>
        </is>
      </c>
      <c r="E465" t="inlineStr">
        <is>
          <t>Director</t>
        </is>
      </c>
      <c r="F465">
        <f>HYPERLINK("https://app.apollo.io/#/people/57dd4779a6da987aec2023db")</f>
        <v/>
      </c>
      <c r="G465" t="inlineStr">
        <is>
          <t>Colliers</t>
        </is>
      </c>
      <c r="H465">
        <f>HYPERLINK("https://app.apollo.io/#/accounts/64aaf6c63d556a0001e8eda6")</f>
        <v/>
      </c>
      <c r="I465">
        <f>HYPERLINK("http://www.colliers.com/")</f>
        <v/>
      </c>
      <c r="J465">
        <f>HYPERLINK("http://www.linkedin.com/company/colliers")</f>
        <v/>
      </c>
      <c r="K465">
        <f>HYPERLINK("https://twitter.com/Colliers")</f>
        <v/>
      </c>
      <c r="L465">
        <f>HYPERLINK("https://facebook.com/colliersinternational/")</f>
        <v/>
      </c>
      <c r="M465" t="inlineStr">
        <is>
          <t>Kaikoura, New Zealand</t>
        </is>
      </c>
      <c r="N465" t="inlineStr">
        <is>
          <t>25,000</t>
        </is>
      </c>
      <c r="O465" t="inlineStr">
        <is>
          <t>Commercial Real Estate</t>
        </is>
      </c>
      <c r="P465" t="inlineStr">
        <is>
          <t>brokerage &amp; agency,corporate solutions</t>
        </is>
      </c>
      <c r="Q465" t="inlineStr">
        <is>
          <t>Not Found</t>
        </is>
      </c>
    </row>
    <row r="466">
      <c r="A466" t="inlineStr">
        <is>
          <t>54a2dd5e746869382517e842</t>
        </is>
      </c>
      <c r="B466" t="inlineStr">
        <is>
          <t>Mandip Sehmi</t>
        </is>
      </c>
      <c r="C466">
        <f>HYPERLINK("http://www.linkedin.com/in/mandip-sehmi-608b7b64")</f>
        <v/>
      </c>
      <c r="D466" t="inlineStr">
        <is>
          <t>Not Found</t>
        </is>
      </c>
      <c r="E466" t="inlineStr">
        <is>
          <t>Director</t>
        </is>
      </c>
      <c r="F466">
        <f>HYPERLINK("https://app.apollo.io/#/people/54a2dd5e746869382517e842")</f>
        <v/>
      </c>
      <c r="G466" t="inlineStr">
        <is>
          <t>Diamond Properties</t>
        </is>
      </c>
      <c r="H466">
        <f>HYPERLINK("https://app.apollo.io/#/organizations/5da6726f14833d0001c2c6eb")</f>
        <v/>
      </c>
      <c r="I466">
        <f>HYPERLINK("http://www.dpmgt.com/")</f>
        <v/>
      </c>
      <c r="J466">
        <f>HYPERLINK("http://www.linkedin.com/company/diamond-properties-ny")</f>
        <v/>
      </c>
      <c r="K466">
        <f>HYPERLINK("https://twitter.com/diamondProp")</f>
        <v/>
      </c>
      <c r="L466">
        <f>HYPERLINK("https://www.facebook.com/Diamond-Properties-LLC-451822888185972/")</f>
        <v/>
      </c>
      <c r="M466" t="inlineStr">
        <is>
          <t>Leeds, United Kingdom</t>
        </is>
      </c>
      <c r="N466" t="inlineStr">
        <is>
          <t>120</t>
        </is>
      </c>
      <c r="O466" t="inlineStr">
        <is>
          <t>Commercial Real Estate</t>
        </is>
      </c>
      <c r="P466" t="inlineStr">
        <is>
          <t>medical,office,co working space,warehouse for lease</t>
        </is>
      </c>
      <c r="Q466" t="inlineStr">
        <is>
          <t>Not Found</t>
        </is>
      </c>
    </row>
    <row r="467">
      <c r="A467" t="inlineStr">
        <is>
          <t>60d0c9afe8768200017f770e</t>
        </is>
      </c>
      <c r="B467" t="inlineStr">
        <is>
          <t>Roger Atkinson</t>
        </is>
      </c>
      <c r="C467">
        <f>HYPERLINK("http://www.linkedin.com/in/roger-atkinson-1014a6163")</f>
        <v/>
      </c>
      <c r="D467" t="inlineStr">
        <is>
          <t>Not Found</t>
        </is>
      </c>
      <c r="E467" t="inlineStr">
        <is>
          <t>Director</t>
        </is>
      </c>
      <c r="F467">
        <f>HYPERLINK("https://app.apollo.io/#/people/60d0c9afe8768200017f770e")</f>
        <v/>
      </c>
      <c r="G467" t="inlineStr">
        <is>
          <t>Colliers</t>
        </is>
      </c>
      <c r="H467">
        <f>HYPERLINK("https://app.apollo.io/#/accounts/64aaf6c63d556a0001e8eda6")</f>
        <v/>
      </c>
      <c r="I467">
        <f>HYPERLINK("http://www.colliers.com/")</f>
        <v/>
      </c>
      <c r="J467">
        <f>HYPERLINK("http://www.linkedin.com/company/colliers")</f>
        <v/>
      </c>
      <c r="K467">
        <f>HYPERLINK("https://twitter.com/Colliers")</f>
        <v/>
      </c>
      <c r="L467">
        <f>HYPERLINK("https://facebook.com/colliersinternational/")</f>
        <v/>
      </c>
      <c r="M467" t="inlineStr">
        <is>
          <t>London, United Kingdom</t>
        </is>
      </c>
      <c r="N467" t="inlineStr">
        <is>
          <t>25,000</t>
        </is>
      </c>
      <c r="O467" t="inlineStr">
        <is>
          <t>Commercial Real Estate</t>
        </is>
      </c>
      <c r="P467" t="inlineStr">
        <is>
          <t>brokerage &amp; agency,corporate solutions</t>
        </is>
      </c>
      <c r="Q467" t="inlineStr">
        <is>
          <t>Not Found</t>
        </is>
      </c>
    </row>
    <row r="468">
      <c r="A468" t="inlineStr">
        <is>
          <t>5ff449ddf5913d0001266c75</t>
        </is>
      </c>
      <c r="B468" t="inlineStr">
        <is>
          <t>Graham Flynn</t>
        </is>
      </c>
      <c r="C468">
        <f>HYPERLINK("http://www.linkedin.com/in/graham-flynn-a1968446")</f>
        <v/>
      </c>
      <c r="D468" t="inlineStr">
        <is>
          <t>Not Found</t>
        </is>
      </c>
      <c r="E468" t="inlineStr">
        <is>
          <t>Director</t>
        </is>
      </c>
      <c r="F468">
        <f>HYPERLINK("https://app.apollo.io/#/people/5ff449ddf5913d0001266c75")</f>
        <v/>
      </c>
      <c r="G468" t="inlineStr">
        <is>
          <t>Box Clever Consulting</t>
        </is>
      </c>
      <c r="H468">
        <f>HYPERLINK("https://app.apollo.io/#/organizations/5a9e7e79a6da98d9356c8a68")</f>
        <v/>
      </c>
      <c r="I468">
        <f>HYPERLINK("http://www.boxcleverconsulting.co.uk/")</f>
        <v/>
      </c>
      <c r="J468">
        <f>HYPERLINK("http://www.linkedin.com/company/box-clever-consulting-llp")</f>
        <v/>
      </c>
      <c r="K468">
        <f>HYPERLINK("Not Found")</f>
        <v/>
      </c>
      <c r="L468">
        <f>HYPERLINK("Not Found")</f>
        <v/>
      </c>
      <c r="M468" t="inlineStr">
        <is>
          <t>Liverpool, United Kingdom</t>
        </is>
      </c>
      <c r="N468" t="inlineStr">
        <is>
          <t>3</t>
        </is>
      </c>
      <c r="O468" t="inlineStr">
        <is>
          <t>Commercial Real Estate</t>
        </is>
      </c>
      <c r="P468" t="inlineStr">
        <is>
          <t>project management,commercial developments</t>
        </is>
      </c>
      <c r="Q468" t="inlineStr">
        <is>
          <t>Not Found</t>
        </is>
      </c>
    </row>
    <row r="469">
      <c r="A469" t="inlineStr">
        <is>
          <t>55ca96bef3e5bb0bfc00728d</t>
        </is>
      </c>
      <c r="B469" t="inlineStr">
        <is>
          <t>Tom Tregoning</t>
        </is>
      </c>
      <c r="C469">
        <f>HYPERLINK("http://www.linkedin.com/in/tom-tregoning-b712999")</f>
        <v/>
      </c>
      <c r="D469" t="inlineStr">
        <is>
          <t>Not Found</t>
        </is>
      </c>
      <c r="E469" t="inlineStr">
        <is>
          <t>Director</t>
        </is>
      </c>
      <c r="F469">
        <f>HYPERLINK("https://app.apollo.io/#/people/55ca96bef3e5bb0bfc00728d")</f>
        <v/>
      </c>
      <c r="G469" t="inlineStr">
        <is>
          <t>Colliers</t>
        </is>
      </c>
      <c r="H469">
        <f>HYPERLINK("https://app.apollo.io/#/accounts/64aaf6c63d556a0001e8eda6")</f>
        <v/>
      </c>
      <c r="I469">
        <f>HYPERLINK("http://www.colliers.com/")</f>
        <v/>
      </c>
      <c r="J469">
        <f>HYPERLINK("http://www.linkedin.com/company/colliers")</f>
        <v/>
      </c>
      <c r="K469">
        <f>HYPERLINK("https://twitter.com/Colliers")</f>
        <v/>
      </c>
      <c r="L469">
        <f>HYPERLINK("https://facebook.com/colliersinternational/")</f>
        <v/>
      </c>
      <c r="M469" t="inlineStr">
        <is>
          <t>London, United Kingdom</t>
        </is>
      </c>
      <c r="N469" t="inlineStr">
        <is>
          <t>25,000</t>
        </is>
      </c>
      <c r="O469" t="inlineStr">
        <is>
          <t>Commercial Real Estate</t>
        </is>
      </c>
      <c r="P469" t="inlineStr">
        <is>
          <t>brokerage &amp; agency,corporate solutions</t>
        </is>
      </c>
      <c r="Q469" t="inlineStr">
        <is>
          <t>Not Found</t>
        </is>
      </c>
    </row>
    <row r="470">
      <c r="A470" t="inlineStr">
        <is>
          <t>60f14b89518d4e0001956eb0</t>
        </is>
      </c>
      <c r="B470" t="inlineStr">
        <is>
          <t>Andrew Holtby</t>
        </is>
      </c>
      <c r="C470">
        <f>HYPERLINK("http://www.linkedin.com/in/andyholtby")</f>
        <v/>
      </c>
      <c r="D470" t="inlineStr">
        <is>
          <t>Not Found</t>
        </is>
      </c>
      <c r="E470" t="inlineStr">
        <is>
          <t>Director</t>
        </is>
      </c>
      <c r="F470">
        <f>HYPERLINK("https://app.apollo.io/#/people/60f14b89518d4e0001956eb0")</f>
        <v/>
      </c>
      <c r="G470" t="inlineStr">
        <is>
          <t>Colliers</t>
        </is>
      </c>
      <c r="H470">
        <f>HYPERLINK("https://app.apollo.io/#/accounts/64aaf6c63d556a0001e8eda6")</f>
        <v/>
      </c>
      <c r="I470">
        <f>HYPERLINK("http://www.colliers.com/")</f>
        <v/>
      </c>
      <c r="J470">
        <f>HYPERLINK("http://www.linkedin.com/company/colliers")</f>
        <v/>
      </c>
      <c r="K470">
        <f>HYPERLINK("https://twitter.com/Colliers")</f>
        <v/>
      </c>
      <c r="L470">
        <f>HYPERLINK("https://facebook.com/colliersinternational/")</f>
        <v/>
      </c>
      <c r="M470" t="inlineStr">
        <is>
          <t>United Kingdom</t>
        </is>
      </c>
      <c r="N470" t="inlineStr">
        <is>
          <t>25,000</t>
        </is>
      </c>
      <c r="O470" t="inlineStr">
        <is>
          <t>Commercial Real Estate</t>
        </is>
      </c>
      <c r="P470" t="inlineStr">
        <is>
          <t>brokerage &amp; agency,corporate solutions</t>
        </is>
      </c>
      <c r="Q470" t="inlineStr">
        <is>
          <t>Not Found</t>
        </is>
      </c>
    </row>
    <row r="471">
      <c r="A471" t="inlineStr">
        <is>
          <t>54ec48337468694311317776</t>
        </is>
      </c>
      <c r="B471" t="inlineStr">
        <is>
          <t>Jonny Phillips</t>
        </is>
      </c>
      <c r="C471">
        <f>HYPERLINK("http://www.linkedin.com/in/jonny-phillips-25b52015")</f>
        <v/>
      </c>
      <c r="D471" t="inlineStr">
        <is>
          <t>Not Found</t>
        </is>
      </c>
      <c r="E471" t="inlineStr">
        <is>
          <t>Director</t>
        </is>
      </c>
      <c r="F471">
        <f>HYPERLINK("https://app.apollo.io/#/people/54ec48337468694311317776")</f>
        <v/>
      </c>
      <c r="G471" t="inlineStr">
        <is>
          <t>The Sheriff Consultancy</t>
        </is>
      </c>
      <c r="H471">
        <f>HYPERLINK("https://app.apollo.io/#/organizations/646c36b21e96e500018b9f42")</f>
        <v/>
      </c>
      <c r="I471">
        <f>HYPERLINK("Not Found")</f>
        <v/>
      </c>
      <c r="J471">
        <f>HYPERLINK("http://www.linkedin.com/company/the-sheriff-consultancy")</f>
        <v/>
      </c>
      <c r="K471">
        <f>HYPERLINK("Not Found")</f>
        <v/>
      </c>
      <c r="L471">
        <f>HYPERLINK("Not Found")</f>
        <v/>
      </c>
      <c r="M471" t="inlineStr">
        <is>
          <t>Leeds, United Kingdom</t>
        </is>
      </c>
      <c r="N471" t="inlineStr">
        <is>
          <t>1</t>
        </is>
      </c>
      <c r="O471" t="inlineStr">
        <is>
          <t>Commercial Real Estate</t>
        </is>
      </c>
      <c r="P471" t="inlineStr">
        <is>
          <t>office2residential,car parks,site acquisition</t>
        </is>
      </c>
      <c r="Q471" t="inlineStr">
        <is>
          <t>Not Found</t>
        </is>
      </c>
    </row>
    <row r="472">
      <c r="A472" t="inlineStr">
        <is>
          <t>60507be4d2965d000159fd2a</t>
        </is>
      </c>
      <c r="B472" t="inlineStr">
        <is>
          <t>David McMillan</t>
        </is>
      </c>
      <c r="C472">
        <f>HYPERLINK("http://www.linkedin.com/in/david-mcmillan-5108341a")</f>
        <v/>
      </c>
      <c r="D472" t="inlineStr">
        <is>
          <t>Not Found</t>
        </is>
      </c>
      <c r="E472" t="inlineStr">
        <is>
          <t>Director</t>
        </is>
      </c>
      <c r="F472">
        <f>HYPERLINK("https://app.apollo.io/#/people/60507be4d2965d000159fd2a")</f>
        <v/>
      </c>
      <c r="G472" t="inlineStr">
        <is>
          <t>Colliers</t>
        </is>
      </c>
      <c r="H472">
        <f>HYPERLINK("https://app.apollo.io/#/accounts/64aaf6c63d556a0001e8eda6")</f>
        <v/>
      </c>
      <c r="I472">
        <f>HYPERLINK("http://www.colliers.com/")</f>
        <v/>
      </c>
      <c r="J472">
        <f>HYPERLINK("http://www.linkedin.com/company/colliers")</f>
        <v/>
      </c>
      <c r="K472">
        <f>HYPERLINK("https://twitter.com/Colliers")</f>
        <v/>
      </c>
      <c r="L472">
        <f>HYPERLINK("https://facebook.com/colliersinternational/")</f>
        <v/>
      </c>
      <c r="M472" t="inlineStr">
        <is>
          <t>United Kingdom</t>
        </is>
      </c>
      <c r="N472" t="inlineStr">
        <is>
          <t>25,000</t>
        </is>
      </c>
      <c r="O472" t="inlineStr">
        <is>
          <t>Commercial Real Estate</t>
        </is>
      </c>
      <c r="P472" t="inlineStr">
        <is>
          <t>brokerage &amp; agency,corporate solutions</t>
        </is>
      </c>
      <c r="Q472" t="inlineStr">
        <is>
          <t>Not Found</t>
        </is>
      </c>
    </row>
    <row r="473">
      <c r="A473" t="inlineStr">
        <is>
          <t>624c4dbabeef460001d75edb</t>
        </is>
      </c>
      <c r="B473" t="inlineStr">
        <is>
          <t>Victoria Moss</t>
        </is>
      </c>
      <c r="C473">
        <f>HYPERLINK("http://www.linkedin.com/in/victoria-moss-mrics-84b10541")</f>
        <v/>
      </c>
      <c r="D473" t="inlineStr">
        <is>
          <t>Not Found</t>
        </is>
      </c>
      <c r="E473" t="inlineStr">
        <is>
          <t>Director</t>
        </is>
      </c>
      <c r="F473">
        <f>HYPERLINK("https://app.apollo.io/#/people/624c4dbabeef460001d75edb")</f>
        <v/>
      </c>
      <c r="G473" t="inlineStr">
        <is>
          <t>Colliers</t>
        </is>
      </c>
      <c r="H473">
        <f>HYPERLINK("https://app.apollo.io/#/accounts/64aaf6c63d556a0001e8eda6")</f>
        <v/>
      </c>
      <c r="I473">
        <f>HYPERLINK("http://www.colliers.com/")</f>
        <v/>
      </c>
      <c r="J473">
        <f>HYPERLINK("http://www.linkedin.com/company/colliers")</f>
        <v/>
      </c>
      <c r="K473">
        <f>HYPERLINK("https://twitter.com/Colliers")</f>
        <v/>
      </c>
      <c r="L473">
        <f>HYPERLINK("https://facebook.com/colliersinternational/")</f>
        <v/>
      </c>
      <c r="M473" t="inlineStr">
        <is>
          <t>United Kingdom</t>
        </is>
      </c>
      <c r="N473" t="inlineStr">
        <is>
          <t>25,000</t>
        </is>
      </c>
      <c r="O473" t="inlineStr">
        <is>
          <t>Commercial Real Estate</t>
        </is>
      </c>
      <c r="P473" t="inlineStr">
        <is>
          <t>brokerage &amp; agency,corporate solutions</t>
        </is>
      </c>
      <c r="Q473" t="inlineStr">
        <is>
          <t>Not Found</t>
        </is>
      </c>
    </row>
    <row r="474">
      <c r="A474" t="inlineStr">
        <is>
          <t>6099dc90ee208300012bf2ba</t>
        </is>
      </c>
      <c r="B474" t="inlineStr">
        <is>
          <t>Mark Smith</t>
        </is>
      </c>
      <c r="C474">
        <f>HYPERLINK("http://www.linkedin.com/in/mark-smith-1381b5a0")</f>
        <v/>
      </c>
      <c r="D474" t="inlineStr">
        <is>
          <t>Not Found</t>
        </is>
      </c>
      <c r="E474" t="inlineStr">
        <is>
          <t>Director</t>
        </is>
      </c>
      <c r="F474">
        <f>HYPERLINK("https://app.apollo.io/#/people/6099dc90ee208300012bf2ba")</f>
        <v/>
      </c>
      <c r="G474" t="inlineStr">
        <is>
          <t>KLM Real Estate</t>
        </is>
      </c>
      <c r="H474">
        <f>HYPERLINK("https://app.apollo.io/#/accounts/6578bee1ccf69c01ae54f83f")</f>
        <v/>
      </c>
      <c r="I474">
        <f>HYPERLINK("http://www.klm-re.com/")</f>
        <v/>
      </c>
      <c r="J474">
        <f>HYPERLINK("http://www.linkedin.com/company/klm-realestate")</f>
        <v/>
      </c>
      <c r="K474">
        <f>HYPERLINK("https://twitter.com/klmrealestate")</f>
        <v/>
      </c>
      <c r="L474">
        <f>HYPERLINK("Not Found")</f>
        <v/>
      </c>
      <c r="M474" t="inlineStr">
        <is>
          <t>London, United Kingdom</t>
        </is>
      </c>
      <c r="N474" t="inlineStr">
        <is>
          <t>25</t>
        </is>
      </c>
      <c r="O474" t="inlineStr">
        <is>
          <t>Commercial Real Estate</t>
        </is>
      </c>
      <c r="P474" t="inlineStr">
        <is>
          <t>agency,investment,lease advisory</t>
        </is>
      </c>
      <c r="Q474" t="inlineStr">
        <is>
          <t>Not Found</t>
        </is>
      </c>
    </row>
    <row r="475">
      <c r="A475" t="inlineStr">
        <is>
          <t>5ac959b2a6da983f6bf3bccd</t>
        </is>
      </c>
      <c r="B475" t="inlineStr">
        <is>
          <t>Thomas Morley</t>
        </is>
      </c>
      <c r="C475">
        <f>HYPERLINK("http://www.linkedin.com/in/thomas-morley-32ab7155")</f>
        <v/>
      </c>
      <c r="D475" t="inlineStr">
        <is>
          <t>Not Found</t>
        </is>
      </c>
      <c r="E475" t="inlineStr">
        <is>
          <t>Director</t>
        </is>
      </c>
      <c r="F475">
        <f>HYPERLINK("https://app.apollo.io/#/people/5ac959b2a6da983f6bf3bccd")</f>
        <v/>
      </c>
      <c r="G475" t="inlineStr">
        <is>
          <t>Harris Lamb</t>
        </is>
      </c>
      <c r="H475">
        <f>HYPERLINK("https://app.apollo.io/#/organizations/54a12a6d69702d979c072202")</f>
        <v/>
      </c>
      <c r="I475">
        <f>HYPERLINK("http://www.harrislamb.com/")</f>
        <v/>
      </c>
      <c r="J475">
        <f>HYPERLINK("http://www.linkedin.com/company/harris-lamb")</f>
        <v/>
      </c>
      <c r="K475">
        <f>HYPERLINK("https://twitter.com/harris_lamb")</f>
        <v/>
      </c>
      <c r="L475">
        <f>HYPERLINK("https://www.facebook.com/HarrisLamb")</f>
        <v/>
      </c>
      <c r="M475" t="inlineStr">
        <is>
          <t>England, United Kingdom</t>
        </is>
      </c>
      <c r="N475" t="inlineStr">
        <is>
          <t>69</t>
        </is>
      </c>
      <c r="O475" t="inlineStr">
        <is>
          <t>Commercial Real Estate</t>
        </is>
      </c>
      <c r="P475" t="inlineStr">
        <is>
          <t>commercial real estate,property consultancy</t>
        </is>
      </c>
      <c r="Q475" t="inlineStr">
        <is>
          <t>Not Found</t>
        </is>
      </c>
    </row>
    <row r="476">
      <c r="A476" t="inlineStr">
        <is>
          <t>5aa455aea6da9842a8c21ded</t>
        </is>
      </c>
      <c r="B476" t="inlineStr">
        <is>
          <t>Steve Atkinson</t>
        </is>
      </c>
      <c r="C476">
        <f>HYPERLINK("http://www.linkedin.com/in/steve-atkinson-876296b7")</f>
        <v/>
      </c>
      <c r="D476" t="inlineStr">
        <is>
          <t>Not Found</t>
        </is>
      </c>
      <c r="E476" t="inlineStr">
        <is>
          <t>Director</t>
        </is>
      </c>
      <c r="F476">
        <f>HYPERLINK("https://app.apollo.io/#/people/5aa455aea6da9842a8c21ded")</f>
        <v/>
      </c>
      <c r="G476" t="inlineStr">
        <is>
          <t>Colliers</t>
        </is>
      </c>
      <c r="H476">
        <f>HYPERLINK("https://app.apollo.io/#/accounts/64aaf6c63d556a0001e8eda6")</f>
        <v/>
      </c>
      <c r="I476">
        <f>HYPERLINK("http://www.colliers.com/")</f>
        <v/>
      </c>
      <c r="J476">
        <f>HYPERLINK("http://www.linkedin.com/company/colliers")</f>
        <v/>
      </c>
      <c r="K476">
        <f>HYPERLINK("https://twitter.com/Colliers")</f>
        <v/>
      </c>
      <c r="L476">
        <f>HYPERLINK("https://facebook.com/colliersinternational/")</f>
        <v/>
      </c>
      <c r="M476" t="inlineStr">
        <is>
          <t>United Kingdom</t>
        </is>
      </c>
      <c r="N476" t="inlineStr">
        <is>
          <t>25,000</t>
        </is>
      </c>
      <c r="O476" t="inlineStr">
        <is>
          <t>Commercial Real Estate</t>
        </is>
      </c>
      <c r="P476" t="inlineStr">
        <is>
          <t>brokerage &amp; agency,corporate solutions</t>
        </is>
      </c>
      <c r="Q476" t="inlineStr">
        <is>
          <t>Not Found</t>
        </is>
      </c>
    </row>
    <row r="477">
      <c r="A477" t="inlineStr">
        <is>
          <t>54ebbbbc746869444ca49d18</t>
        </is>
      </c>
      <c r="B477" t="inlineStr">
        <is>
          <t>Mike Nolloth</t>
        </is>
      </c>
      <c r="C477">
        <f>HYPERLINK("http://www.linkedin.com/in/mike-nolloth-46794142")</f>
        <v/>
      </c>
      <c r="D477" t="inlineStr">
        <is>
          <t>Not Found</t>
        </is>
      </c>
      <c r="E477" t="inlineStr">
        <is>
          <t>Director</t>
        </is>
      </c>
      <c r="F477">
        <f>HYPERLINK("https://app.apollo.io/#/people/54ebbbbc746869444ca49d18")</f>
        <v/>
      </c>
      <c r="G477" t="inlineStr">
        <is>
          <t>Mayfield Asset and Property Management</t>
        </is>
      </c>
      <c r="H477">
        <f>HYPERLINK("https://app.apollo.io/#/organizations/5e56302deff1740001276f1d")</f>
        <v/>
      </c>
      <c r="I477">
        <f>HYPERLINK("http://www.mayfieldproperty.com/")</f>
        <v/>
      </c>
      <c r="J477">
        <f>HYPERLINK("http://www.linkedin.com/company/mayfield-asset-and-property-management")</f>
        <v/>
      </c>
      <c r="K477">
        <f>HYPERLINK("https://twitter.com/mayfield_asset")</f>
        <v/>
      </c>
      <c r="L477">
        <f>HYPERLINK("Not Found")</f>
        <v/>
      </c>
      <c r="M477" t="inlineStr">
        <is>
          <t>London, United Kingdom</t>
        </is>
      </c>
      <c r="N477" t="inlineStr">
        <is>
          <t>34</t>
        </is>
      </c>
      <c r="O477" t="inlineStr">
        <is>
          <t>Commercial Real Estate</t>
        </is>
      </c>
      <c r="P477" t="inlineStr">
        <is>
          <t>commercial real estate,asset management</t>
        </is>
      </c>
      <c r="Q477" t="inlineStr">
        <is>
          <t>Not Found</t>
        </is>
      </c>
    </row>
    <row r="478">
      <c r="A478" t="inlineStr">
        <is>
          <t>611a408012fb5a0001019aa2</t>
        </is>
      </c>
      <c r="B478" t="inlineStr">
        <is>
          <t>Stephen Hurford</t>
        </is>
      </c>
      <c r="C478">
        <f>HYPERLINK("http://www.linkedin.com/in/stephen-hurford-3200931a")</f>
        <v/>
      </c>
      <c r="D478" t="inlineStr">
        <is>
          <t>Not Found</t>
        </is>
      </c>
      <c r="E478" t="inlineStr">
        <is>
          <t>Director</t>
        </is>
      </c>
      <c r="F478">
        <f>HYPERLINK("https://app.apollo.io/#/people/611a408012fb5a0001019aa2")</f>
        <v/>
      </c>
      <c r="G478" t="inlineStr">
        <is>
          <t>Hurford Salvi Carr</t>
        </is>
      </c>
      <c r="H478">
        <f>HYPERLINK("https://app.apollo.io/#/organizations/5da6521321d95f0001384530")</f>
        <v/>
      </c>
      <c r="I478">
        <f>HYPERLINK("http://www.hurford-salvi-carr.co.uk/")</f>
        <v/>
      </c>
      <c r="J478">
        <f>HYPERLINK("http://www.linkedin.com/company/hurford-salvi-carr")</f>
        <v/>
      </c>
      <c r="K478">
        <f>HYPERLINK("http://twitter.com/hurfordsalvicar")</f>
        <v/>
      </c>
      <c r="L478">
        <f>HYPERLINK("https://www.facebook.com/hurfordsalvicarr")</f>
        <v/>
      </c>
      <c r="M478" t="inlineStr">
        <is>
          <t>London, United Kingdom</t>
        </is>
      </c>
      <c r="N478" t="inlineStr">
        <is>
          <t>53</t>
        </is>
      </c>
      <c r="O478" t="inlineStr">
        <is>
          <t>Commercial Real Estate</t>
        </is>
      </c>
      <c r="P478" t="inlineStr">
        <is>
          <t>residential lettings,new homes,residential sales</t>
        </is>
      </c>
      <c r="Q478" t="inlineStr">
        <is>
          <t>Not Found</t>
        </is>
      </c>
    </row>
    <row r="479">
      <c r="A479" t="inlineStr">
        <is>
          <t>5b402aeba6da984c0e6344d8</t>
        </is>
      </c>
      <c r="B479" t="inlineStr">
        <is>
          <t>Tim Baker</t>
        </is>
      </c>
      <c r="C479">
        <f>HYPERLINK("http://www.linkedin.com/in/tim-baker-71a8a219")</f>
        <v/>
      </c>
      <c r="D479" t="inlineStr">
        <is>
          <t>Not Found</t>
        </is>
      </c>
      <c r="E479" t="inlineStr">
        <is>
          <t>Director</t>
        </is>
      </c>
      <c r="F479">
        <f>HYPERLINK("https://app.apollo.io/#/people/5b402aeba6da984c0e6344d8")</f>
        <v/>
      </c>
      <c r="G479" t="inlineStr">
        <is>
          <t>The Milton Group Ltd</t>
        </is>
      </c>
      <c r="H479">
        <f>HYPERLINK("https://app.apollo.io/#/organizations/556d73eb7369641261441501")</f>
        <v/>
      </c>
      <c r="I479">
        <f>HYPERLINK("http://www.miltongroup.com/")</f>
        <v/>
      </c>
      <c r="J479">
        <f>HYPERLINK("http://www.linkedin.com/company/the-milton-group-limited")</f>
        <v/>
      </c>
      <c r="K479">
        <f>HYPERLINK("Not Found")</f>
        <v/>
      </c>
      <c r="L479">
        <f>HYPERLINK("Not Found")</f>
        <v/>
      </c>
      <c r="M479" t="inlineStr">
        <is>
          <t>Wrotham, United Kingdom</t>
        </is>
      </c>
      <c r="N479" t="inlineStr">
        <is>
          <t>4</t>
        </is>
      </c>
      <c r="O479" t="inlineStr">
        <is>
          <t>Commercial Real Estate</t>
        </is>
      </c>
      <c r="Q479" t="inlineStr">
        <is>
          <t>Not Found</t>
        </is>
      </c>
    </row>
    <row r="480">
      <c r="A480" t="inlineStr">
        <is>
          <t>603e40351bf3ea0001efd3f6</t>
        </is>
      </c>
      <c r="B480" t="inlineStr">
        <is>
          <t>Richard Wherry</t>
        </is>
      </c>
      <c r="C480">
        <f>HYPERLINK("http://www.linkedin.com/in/richard-wherry-b1b1022b")</f>
        <v/>
      </c>
      <c r="D480" t="inlineStr">
        <is>
          <t>Not Found</t>
        </is>
      </c>
      <c r="E480" t="inlineStr">
        <is>
          <t>Director</t>
        </is>
      </c>
      <c r="F480">
        <f>HYPERLINK("https://app.apollo.io/#/people/603e40351bf3ea0001efd3f6")</f>
        <v/>
      </c>
      <c r="G480" t="inlineStr">
        <is>
          <t>QUORA LIMITED</t>
        </is>
      </c>
      <c r="H480">
        <f>HYPERLINK("https://app.apollo.io/#/accounts/6578be3973d31601aeef2847")</f>
        <v/>
      </c>
      <c r="I480">
        <f>HYPERLINK("http://www.quoradevelopments.com/")</f>
        <v/>
      </c>
      <c r="J480">
        <f>HYPERLINK("http://www.linkedin.com/company/quora-limited")</f>
        <v/>
      </c>
      <c r="K480">
        <f>HYPERLINK("Not Found")</f>
        <v/>
      </c>
      <c r="L480">
        <f>HYPERLINK("Not Found")</f>
        <v/>
      </c>
      <c r="M480" t="inlineStr">
        <is>
          <t>Newark-on-Trent, United Kingdom</t>
        </is>
      </c>
      <c r="N480" t="inlineStr">
        <is>
          <t>3</t>
        </is>
      </c>
      <c r="O480" t="inlineStr">
        <is>
          <t>Commercial Real Estate</t>
        </is>
      </c>
      <c r="Q480" t="inlineStr">
        <is>
          <t>Not Found</t>
        </is>
      </c>
    </row>
    <row r="481">
      <c r="A481" t="inlineStr">
        <is>
          <t>54fb47817468692f6bce650c</t>
        </is>
      </c>
      <c r="B481" t="inlineStr">
        <is>
          <t>Neil McCreath</t>
        </is>
      </c>
      <c r="C481">
        <f>HYPERLINK("http://www.linkedin.com/in/neil-mccreath-b1639617")</f>
        <v/>
      </c>
      <c r="D481" t="inlineStr">
        <is>
          <t>Not Found</t>
        </is>
      </c>
      <c r="E481" t="inlineStr">
        <is>
          <t>Director</t>
        </is>
      </c>
      <c r="F481">
        <f>HYPERLINK("https://app.apollo.io/#/people/54fb47817468692f6bce650c")</f>
        <v/>
      </c>
      <c r="G481" t="inlineStr">
        <is>
          <t>EPCO</t>
        </is>
      </c>
      <c r="H481">
        <f>HYPERLINK("https://app.apollo.io/#/organizations/5ed7cc8d420b9d0001240578")</f>
        <v/>
      </c>
      <c r="I481">
        <f>HYPERLINK("http://www.epc-o.co.uk/")</f>
        <v/>
      </c>
      <c r="J481">
        <f>HYPERLINK("http://www.linkedin.com/company/epc-o")</f>
        <v/>
      </c>
      <c r="K481">
        <f>HYPERLINK("Not Found")</f>
        <v/>
      </c>
      <c r="L481">
        <f>HYPERLINK("Not Found")</f>
        <v/>
      </c>
      <c r="M481" t="inlineStr">
        <is>
          <t>Edinburgh, United Kingdom</t>
        </is>
      </c>
      <c r="N481" t="inlineStr">
        <is>
          <t>1</t>
        </is>
      </c>
      <c r="O481" t="inlineStr">
        <is>
          <t>Commercial Real Estate</t>
        </is>
      </c>
      <c r="Q481" t="inlineStr">
        <is>
          <t>Not Found</t>
        </is>
      </c>
    </row>
    <row r="482">
      <c r="A482" t="inlineStr">
        <is>
          <t>606b2b8ecafed70001185f41</t>
        </is>
      </c>
      <c r="B482" t="inlineStr">
        <is>
          <t>Kieran O'Donoghue</t>
        </is>
      </c>
      <c r="C482">
        <f>HYPERLINK("http://www.linkedin.com/in/kieran-o-donoghue-55832021")</f>
        <v/>
      </c>
      <c r="D482" t="inlineStr">
        <is>
          <t>Not Found</t>
        </is>
      </c>
      <c r="E482" t="inlineStr">
        <is>
          <t>Director</t>
        </is>
      </c>
      <c r="F482">
        <f>HYPERLINK("https://app.apollo.io/#/people/606b2b8ecafed70001185f41")</f>
        <v/>
      </c>
      <c r="G482" t="inlineStr">
        <is>
          <t>EDGE</t>
        </is>
      </c>
      <c r="H482">
        <f>HYPERLINK("https://app.apollo.io/#/accounts/6578c3ae48f92e03e9979f91")</f>
        <v/>
      </c>
      <c r="I482">
        <f>HYPERLINK("http://www.edge.tech/")</f>
        <v/>
      </c>
      <c r="J482">
        <f>HYPERLINK("http://www.linkedin.com/company/edge-real-tech")</f>
        <v/>
      </c>
      <c r="K482">
        <f>HYPERLINK("https://twitter.com/edgetech_")</f>
        <v/>
      </c>
      <c r="L482">
        <f>HYPERLINK("Not Found")</f>
        <v/>
      </c>
      <c r="M482" t="inlineStr">
        <is>
          <t>Birmingham, United Kingdom</t>
        </is>
      </c>
      <c r="N482" t="inlineStr">
        <is>
          <t>180</t>
        </is>
      </c>
      <c r="O482" t="inlineStr">
        <is>
          <t>Commercial Real Estate</t>
        </is>
      </c>
      <c r="P482" t="inlineStr">
        <is>
          <t>circular economy,building development</t>
        </is>
      </c>
      <c r="Q482" t="inlineStr">
        <is>
          <t>Not Found</t>
        </is>
      </c>
    </row>
    <row r="483">
      <c r="A483" t="inlineStr">
        <is>
          <t>5571385973696448299b1200</t>
        </is>
      </c>
      <c r="B483" t="inlineStr">
        <is>
          <t>Kenji Harty</t>
        </is>
      </c>
      <c r="C483">
        <f>HYPERLINK("http://www.linkedin.com/in/kenji-harty-27614439")</f>
        <v/>
      </c>
      <c r="D483" t="inlineStr">
        <is>
          <t>Not Found</t>
        </is>
      </c>
      <c r="E483" t="inlineStr">
        <is>
          <t>Director</t>
        </is>
      </c>
      <c r="F483">
        <f>HYPERLINK("https://app.apollo.io/#/people/5571385973696448299b1200")</f>
        <v/>
      </c>
      <c r="G483" t="inlineStr">
        <is>
          <t>Colliers</t>
        </is>
      </c>
      <c r="H483">
        <f>HYPERLINK("https://app.apollo.io/#/accounts/64aaf6c63d556a0001e8eda6")</f>
        <v/>
      </c>
      <c r="I483">
        <f>HYPERLINK("http://www.colliers.com/")</f>
        <v/>
      </c>
      <c r="J483">
        <f>HYPERLINK("http://www.linkedin.com/company/colliers")</f>
        <v/>
      </c>
      <c r="K483">
        <f>HYPERLINK("https://twitter.com/Colliers")</f>
        <v/>
      </c>
      <c r="L483">
        <f>HYPERLINK("https://facebook.com/colliersinternational/")</f>
        <v/>
      </c>
      <c r="M483" t="inlineStr">
        <is>
          <t>London, United Kingdom</t>
        </is>
      </c>
      <c r="N483" t="inlineStr">
        <is>
          <t>25,000</t>
        </is>
      </c>
      <c r="O483" t="inlineStr">
        <is>
          <t>Commercial Real Estate</t>
        </is>
      </c>
      <c r="P483" t="inlineStr">
        <is>
          <t>brokerage &amp; agency,corporate solutions</t>
        </is>
      </c>
      <c r="Q483" t="inlineStr">
        <is>
          <t>Not Found</t>
        </is>
      </c>
    </row>
    <row r="484">
      <c r="A484" t="inlineStr">
        <is>
          <t>54a2ab2e7468692e71138234</t>
        </is>
      </c>
      <c r="B484" t="inlineStr">
        <is>
          <t>Mike Brassington</t>
        </is>
      </c>
      <c r="C484">
        <f>HYPERLINK("http://www.linkedin.com/in/mikebrassington")</f>
        <v/>
      </c>
      <c r="D484" t="inlineStr">
        <is>
          <t>Not Found</t>
        </is>
      </c>
      <c r="E484" t="inlineStr">
        <is>
          <t>Director</t>
        </is>
      </c>
      <c r="F484">
        <f>HYPERLINK("https://app.apollo.io/#/people/54a2ab2e7468692e71138234")</f>
        <v/>
      </c>
      <c r="G484" t="inlineStr">
        <is>
          <t>Colliers</t>
        </is>
      </c>
      <c r="H484">
        <f>HYPERLINK("https://app.apollo.io/#/accounts/64aaf6c63d556a0001e8eda6")</f>
        <v/>
      </c>
      <c r="I484">
        <f>HYPERLINK("http://www.colliers.com/")</f>
        <v/>
      </c>
      <c r="J484">
        <f>HYPERLINK("http://www.linkedin.com/company/colliers")</f>
        <v/>
      </c>
      <c r="K484">
        <f>HYPERLINK("https://twitter.com/Colliers")</f>
        <v/>
      </c>
      <c r="L484">
        <f>HYPERLINK("https://facebook.com/colliersinternational/")</f>
        <v/>
      </c>
      <c r="M484" t="inlineStr">
        <is>
          <t>Manchester, United Kingdom</t>
        </is>
      </c>
      <c r="N484" t="inlineStr">
        <is>
          <t>25,000</t>
        </is>
      </c>
      <c r="O484" t="inlineStr">
        <is>
          <t>Commercial Real Estate</t>
        </is>
      </c>
      <c r="P484" t="inlineStr">
        <is>
          <t>brokerage &amp; agency,corporate solutions</t>
        </is>
      </c>
      <c r="Q484" t="inlineStr">
        <is>
          <t>Not Found</t>
        </is>
      </c>
    </row>
    <row r="485">
      <c r="A485" t="inlineStr">
        <is>
          <t>6114898e447a8e0001c295ec</t>
        </is>
      </c>
      <c r="B485" t="inlineStr">
        <is>
          <t>Andrew Macmillan</t>
        </is>
      </c>
      <c r="C485">
        <f>HYPERLINK("http://www.linkedin.com/in/andrew-macmillan-ldn")</f>
        <v/>
      </c>
      <c r="D485" t="inlineStr">
        <is>
          <t>Not Found</t>
        </is>
      </c>
      <c r="E485" t="inlineStr">
        <is>
          <t>Director</t>
        </is>
      </c>
      <c r="F485">
        <f>HYPERLINK("https://app.apollo.io/#/people/6114898e447a8e0001c295ec")</f>
        <v/>
      </c>
      <c r="G485" t="inlineStr">
        <is>
          <t>Sunne</t>
        </is>
      </c>
      <c r="H485">
        <f>HYPERLINK("https://app.apollo.io/#/organizations/640eee105e562500dc4138e8")</f>
        <v/>
      </c>
      <c r="I485">
        <f>HYPERLINK("http://www.sunne.energy/")</f>
        <v/>
      </c>
      <c r="J485">
        <f>HYPERLINK("http://www.linkedin.com/company/sunnere")</f>
        <v/>
      </c>
      <c r="K485">
        <f>HYPERLINK("Not Found")</f>
        <v/>
      </c>
      <c r="L485">
        <f>HYPERLINK("Not Found")</f>
        <v/>
      </c>
      <c r="M485" t="inlineStr">
        <is>
          <t>London, United Kingdom</t>
        </is>
      </c>
      <c r="N485" t="inlineStr">
        <is>
          <t>4</t>
        </is>
      </c>
      <c r="O485" t="inlineStr">
        <is>
          <t>Commercial Real Estate</t>
        </is>
      </c>
      <c r="P485" t="inlineStr">
        <is>
          <t>solar,ev charging,renewable energy,real estate</t>
        </is>
      </c>
      <c r="Q485" t="inlineStr">
        <is>
          <t>Not Found</t>
        </is>
      </c>
    </row>
    <row r="486">
      <c r="A486" t="inlineStr">
        <is>
          <t>57d43ce6a6da9853becf8785</t>
        </is>
      </c>
      <c r="B486" t="inlineStr">
        <is>
          <t>Kevin Havill</t>
        </is>
      </c>
      <c r="C486">
        <f>HYPERLINK("http://www.linkedin.com/in/kevin-havill-68a27615")</f>
        <v/>
      </c>
      <c r="D486" t="inlineStr">
        <is>
          <t>Not Found</t>
        </is>
      </c>
      <c r="E486" t="inlineStr">
        <is>
          <t>Director</t>
        </is>
      </c>
      <c r="F486">
        <f>HYPERLINK("https://app.apollo.io/#/people/57d43ce6a6da9853becf8785")</f>
        <v/>
      </c>
      <c r="G486" t="inlineStr">
        <is>
          <t>NewHansa OÜ</t>
        </is>
      </c>
      <c r="H486">
        <f>HYPERLINK("https://app.apollo.io/#/organizations/55f46cc8f3e5bb3573003f44")</f>
        <v/>
      </c>
      <c r="I486">
        <f>HYPERLINK("http://www.newhansa.ee/")</f>
        <v/>
      </c>
      <c r="J486">
        <f>HYPERLINK("http://www.linkedin.com/company/newhansa-o%c3%bc")</f>
        <v/>
      </c>
      <c r="K486">
        <f>HYPERLINK("https://twitter.com/tweetbluewater")</f>
        <v/>
      </c>
      <c r="L486">
        <f>HYPERLINK("https://www.facebook.com/Bluewater")</f>
        <v/>
      </c>
      <c r="M486" t="inlineStr">
        <is>
          <t>Truro, United Kingdom</t>
        </is>
      </c>
      <c r="N486" t="inlineStr">
        <is>
          <t>1</t>
        </is>
      </c>
      <c r="O486" t="inlineStr">
        <is>
          <t>Commercial Real Estate</t>
        </is>
      </c>
      <c r="P486" t="inlineStr">
        <is>
          <t>finance,management,agency,development</t>
        </is>
      </c>
      <c r="Q486" t="inlineStr">
        <is>
          <t>Not Found</t>
        </is>
      </c>
    </row>
    <row r="487">
      <c r="A487" t="inlineStr">
        <is>
          <t>54ebc0d47468694311854a1d</t>
        </is>
      </c>
      <c r="B487" t="inlineStr">
        <is>
          <t>Lawrence Regan</t>
        </is>
      </c>
      <c r="C487">
        <f>HYPERLINK("http://www.linkedin.com/in/lawrence-regan-86934026")</f>
        <v/>
      </c>
      <c r="D487" t="inlineStr">
        <is>
          <t>Not Found</t>
        </is>
      </c>
      <c r="E487" t="inlineStr">
        <is>
          <t>Director</t>
        </is>
      </c>
      <c r="F487">
        <f>HYPERLINK("https://app.apollo.io/#/people/54ebc0d47468694311854a1d")</f>
        <v/>
      </c>
      <c r="G487" t="inlineStr">
        <is>
          <t>Land &amp; Commercial, Inc.</t>
        </is>
      </c>
      <c r="H487">
        <f>HYPERLINK("https://app.apollo.io/#/organizations/56d5fd2cf3e5bb35dd0008a8")</f>
        <v/>
      </c>
      <c r="I487">
        <f>HYPERLINK("http://www.landcommercial.com/")</f>
        <v/>
      </c>
      <c r="J487">
        <f>HYPERLINK("http://www.linkedin.com/company/land-&amp;-commercial-inc.")</f>
        <v/>
      </c>
      <c r="K487">
        <f>HYPERLINK("Not Found")</f>
        <v/>
      </c>
      <c r="L487">
        <f>HYPERLINK("https://facebook.com/landcommercial")</f>
        <v/>
      </c>
      <c r="M487" t="inlineStr">
        <is>
          <t>United Kingdom</t>
        </is>
      </c>
      <c r="N487" t="inlineStr">
        <is>
          <t>5</t>
        </is>
      </c>
      <c r="O487" t="inlineStr">
        <is>
          <t>Commercial Real Estate</t>
        </is>
      </c>
      <c r="P487" t="inlineStr">
        <is>
          <t>commercial real estate,real estate development</t>
        </is>
      </c>
      <c r="Q487" t="inlineStr">
        <is>
          <t>Not Found</t>
        </is>
      </c>
    </row>
    <row r="488">
      <c r="A488" t="inlineStr">
        <is>
          <t>60ccfda2085ac60001e3da12</t>
        </is>
      </c>
      <c r="B488" t="inlineStr">
        <is>
          <t>Nina Zeilerbauer</t>
        </is>
      </c>
      <c r="C488">
        <f>HYPERLINK("http://www.linkedin.com/in/nina-zeilerbauer-833a5115")</f>
        <v/>
      </c>
      <c r="D488" t="inlineStr">
        <is>
          <t>Not Found</t>
        </is>
      </c>
      <c r="E488" t="inlineStr">
        <is>
          <t>Director</t>
        </is>
      </c>
      <c r="F488">
        <f>HYPERLINK("https://app.apollo.io/#/people/60ccfda2085ac60001e3da12")</f>
        <v/>
      </c>
      <c r="G488" t="inlineStr">
        <is>
          <t>Madison Berkeley</t>
        </is>
      </c>
      <c r="H488">
        <f>HYPERLINK("https://app.apollo.io/#/accounts/6578c0501823b201ae2f230a")</f>
        <v/>
      </c>
      <c r="I488">
        <f>HYPERLINK("http://www.madisonberkeley.com/")</f>
        <v/>
      </c>
      <c r="J488">
        <f>HYPERLINK("http://www.linkedin.com/company/madison-berkeley")</f>
        <v/>
      </c>
      <c r="K488">
        <f>HYPERLINK("Not Found")</f>
        <v/>
      </c>
      <c r="L488">
        <f>HYPERLINK("Not Found")</f>
        <v/>
      </c>
      <c r="M488" t="inlineStr">
        <is>
          <t>London, United Kingdom</t>
        </is>
      </c>
      <c r="N488" t="inlineStr">
        <is>
          <t>8</t>
        </is>
      </c>
      <c r="O488" t="inlineStr">
        <is>
          <t>Commercial Real Estate</t>
        </is>
      </c>
      <c r="P488" t="inlineStr">
        <is>
          <t>real estate recruitment,property recruitment</t>
        </is>
      </c>
      <c r="Q488" t="inlineStr">
        <is>
          <t>Not Found</t>
        </is>
      </c>
    </row>
    <row r="489">
      <c r="A489" t="inlineStr">
        <is>
          <t>54a494747468693676a68d52</t>
        </is>
      </c>
      <c r="B489" t="inlineStr">
        <is>
          <t>Matthew Dunn</t>
        </is>
      </c>
      <c r="C489">
        <f>HYPERLINK("http://www.linkedin.com/in/matthew-dunn-9923289")</f>
        <v/>
      </c>
      <c r="D489" t="inlineStr">
        <is>
          <t>Not Found</t>
        </is>
      </c>
      <c r="E489" t="inlineStr">
        <is>
          <t>Director</t>
        </is>
      </c>
      <c r="F489">
        <f>HYPERLINK("https://app.apollo.io/#/people/54a494747468693676a68d52")</f>
        <v/>
      </c>
      <c r="G489" t="inlineStr">
        <is>
          <t>Colliers</t>
        </is>
      </c>
      <c r="H489">
        <f>HYPERLINK("https://app.apollo.io/#/accounts/6578c2e248f92e02cc97a7cd")</f>
        <v/>
      </c>
      <c r="I489">
        <f>HYPERLINK("http://www.colliers.com/")</f>
        <v/>
      </c>
      <c r="J489">
        <f>HYPERLINK("http://www.linkedin.com/company/colliers")</f>
        <v/>
      </c>
      <c r="K489">
        <f>HYPERLINK("https://twitter.com/collierscanada")</f>
        <v/>
      </c>
      <c r="L489">
        <f>HYPERLINK("Not Found")</f>
        <v/>
      </c>
      <c r="M489" t="inlineStr">
        <is>
          <t>Esher, United Kingdom</t>
        </is>
      </c>
      <c r="N489" t="inlineStr">
        <is>
          <t>25,000</t>
        </is>
      </c>
      <c r="O489" t="inlineStr">
        <is>
          <t>Commercial Real Estate</t>
        </is>
      </c>
      <c r="P489" t="inlineStr">
        <is>
          <t>brokerage &amp; agency,corporate solutions</t>
        </is>
      </c>
      <c r="Q489" t="inlineStr">
        <is>
          <t>Not Found</t>
        </is>
      </c>
    </row>
    <row r="490">
      <c r="A490" t="inlineStr">
        <is>
          <t>5ad99f28a6da9861dc268c08</t>
        </is>
      </c>
      <c r="B490" t="inlineStr">
        <is>
          <t>Jeff Smith</t>
        </is>
      </c>
      <c r="C490">
        <f>HYPERLINK("http://www.linkedin.com/in/jeffreysmith03")</f>
        <v/>
      </c>
      <c r="D490" t="inlineStr">
        <is>
          <t>Not Found</t>
        </is>
      </c>
      <c r="E490" t="inlineStr">
        <is>
          <t>Director</t>
        </is>
      </c>
      <c r="F490">
        <f>HYPERLINK("https://app.apollo.io/#/people/5ad99f28a6da9861dc268c08")</f>
        <v/>
      </c>
      <c r="G490" t="inlineStr">
        <is>
          <t>Colliers</t>
        </is>
      </c>
      <c r="H490">
        <f>HYPERLINK("https://app.apollo.io/#/accounts/64aaf6c63d556a0001e8eda6")</f>
        <v/>
      </c>
      <c r="I490">
        <f>HYPERLINK("http://www.colliers.com/")</f>
        <v/>
      </c>
      <c r="J490">
        <f>HYPERLINK("http://www.linkedin.com/company/colliers")</f>
        <v/>
      </c>
      <c r="K490">
        <f>HYPERLINK("https://twitter.com/Colliers")</f>
        <v/>
      </c>
      <c r="L490">
        <f>HYPERLINK("https://facebook.com/colliersinternational/")</f>
        <v/>
      </c>
      <c r="M490" t="inlineStr">
        <is>
          <t>United Kingdom</t>
        </is>
      </c>
      <c r="N490" t="inlineStr">
        <is>
          <t>25,000</t>
        </is>
      </c>
      <c r="O490" t="inlineStr">
        <is>
          <t>Commercial Real Estate</t>
        </is>
      </c>
      <c r="P490" t="inlineStr">
        <is>
          <t>brokerage &amp; agency,corporate solutions</t>
        </is>
      </c>
      <c r="Q490" t="inlineStr">
        <is>
          <t>Not Found</t>
        </is>
      </c>
    </row>
    <row r="491">
      <c r="A491" t="inlineStr">
        <is>
          <t>54a210007468693318e25509</t>
        </is>
      </c>
      <c r="B491" t="inlineStr">
        <is>
          <t>Finola Ingham</t>
        </is>
      </c>
      <c r="C491">
        <f>HYPERLINK("http://www.linkedin.com/in/finola-ingham-mrics-a396303a")</f>
        <v/>
      </c>
      <c r="D491" t="inlineStr">
        <is>
          <t>Not Found</t>
        </is>
      </c>
      <c r="E491" t="inlineStr">
        <is>
          <t>Director</t>
        </is>
      </c>
      <c r="F491">
        <f>HYPERLINK("https://app.apollo.io/#/people/54a210007468693318e25509")</f>
        <v/>
      </c>
      <c r="G491" t="inlineStr">
        <is>
          <t>Burston Cook</t>
        </is>
      </c>
      <c r="H491">
        <f>HYPERLINK("https://app.apollo.io/#/organizations/556950b373696425cbdb0200")</f>
        <v/>
      </c>
      <c r="I491">
        <f>HYPERLINK("http://www.burstoncook.co.uk/")</f>
        <v/>
      </c>
      <c r="J491">
        <f>HYPERLINK("http://www.linkedin.com/company/burston-cook")</f>
        <v/>
      </c>
      <c r="K491">
        <f>HYPERLINK("Not Found")</f>
        <v/>
      </c>
      <c r="L491">
        <f>HYPERLINK("Not Found")</f>
        <v/>
      </c>
      <c r="M491" t="inlineStr">
        <is>
          <t>Bristol, United Kingdom</t>
        </is>
      </c>
      <c r="N491" t="inlineStr">
        <is>
          <t>13</t>
        </is>
      </c>
      <c r="O491" t="inlineStr">
        <is>
          <t>Commercial Real Estate</t>
        </is>
      </c>
      <c r="P491" t="inlineStr">
        <is>
          <t>freehold disposals,property investment advice</t>
        </is>
      </c>
      <c r="Q491" t="inlineStr">
        <is>
          <t>Not Found</t>
        </is>
      </c>
    </row>
    <row r="492">
      <c r="A492" t="inlineStr">
        <is>
          <t>63a79ad8a311e600011f0b0b</t>
        </is>
      </c>
      <c r="B492" t="inlineStr">
        <is>
          <t>Charles D'Auncey</t>
        </is>
      </c>
      <c r="C492">
        <f>HYPERLINK("http://www.linkedin.com/in/charles-d-auncey-818bb515")</f>
        <v/>
      </c>
      <c r="D492" t="inlineStr">
        <is>
          <t>Not Found</t>
        </is>
      </c>
      <c r="E492" t="inlineStr">
        <is>
          <t>Director</t>
        </is>
      </c>
      <c r="F492">
        <f>HYPERLINK("https://app.apollo.io/#/people/63a79ad8a311e600011f0b0b")</f>
        <v/>
      </c>
      <c r="G492" t="inlineStr">
        <is>
          <t>Harris Lamb</t>
        </is>
      </c>
      <c r="H492">
        <f>HYPERLINK("https://app.apollo.io/#/accounts/6578c3e448f92e01ae97c213")</f>
        <v/>
      </c>
      <c r="I492">
        <f>HYPERLINK("http://www.harrislamb.com/")</f>
        <v/>
      </c>
      <c r="J492">
        <f>HYPERLINK("http://www.linkedin.com/company/harris-lamb")</f>
        <v/>
      </c>
      <c r="K492">
        <f>HYPERLINK("https://twitter.com/harris_lamb")</f>
        <v/>
      </c>
      <c r="L492">
        <f>HYPERLINK("https://www.facebook.com/HarrisLamb")</f>
        <v/>
      </c>
      <c r="M492" t="inlineStr">
        <is>
          <t>England, United Kingdom</t>
        </is>
      </c>
      <c r="N492" t="inlineStr">
        <is>
          <t>69</t>
        </is>
      </c>
      <c r="O492" t="inlineStr">
        <is>
          <t>Commercial Real Estate</t>
        </is>
      </c>
      <c r="P492" t="inlineStr">
        <is>
          <t>commercial real estate,property consultancy</t>
        </is>
      </c>
      <c r="Q492" t="inlineStr">
        <is>
          <t>Not Found</t>
        </is>
      </c>
    </row>
    <row r="493">
      <c r="A493" t="inlineStr">
        <is>
          <t>6175a8479b65660001097972</t>
        </is>
      </c>
      <c r="B493" t="inlineStr">
        <is>
          <t>Tony Banks</t>
        </is>
      </c>
      <c r="C493">
        <f>HYPERLINK("http://www.linkedin.com/in/tony-banks-30043951")</f>
        <v/>
      </c>
      <c r="D493" t="inlineStr">
        <is>
          <t>Not Found</t>
        </is>
      </c>
      <c r="E493" t="inlineStr">
        <is>
          <t>Director</t>
        </is>
      </c>
      <c r="F493">
        <f>HYPERLINK("https://app.apollo.io/#/people/6175a8479b65660001097972")</f>
        <v/>
      </c>
      <c r="G493" t="inlineStr">
        <is>
          <t>C4 Projects Limited</t>
        </is>
      </c>
      <c r="H493">
        <f>HYPERLINK("https://app.apollo.io/#/organizations/5569c1f27369642529868c00")</f>
        <v/>
      </c>
      <c r="I493">
        <f>HYPERLINK("Not Found")</f>
        <v/>
      </c>
      <c r="J493">
        <f>HYPERLINK("http://www.linkedin.com/company/c4-consulting-limited")</f>
        <v/>
      </c>
      <c r="K493">
        <f>HYPERLINK("Not Found")</f>
        <v/>
      </c>
      <c r="L493">
        <f>HYPERLINK("Not Found")</f>
        <v/>
      </c>
      <c r="M493" t="inlineStr">
        <is>
          <t>Warrington, United Kingdom</t>
        </is>
      </c>
      <c r="N493" t="inlineStr">
        <is>
          <t>40</t>
        </is>
      </c>
      <c r="O493" t="inlineStr">
        <is>
          <t>Commercial Real Estate</t>
        </is>
      </c>
      <c r="P493" t="inlineStr">
        <is>
          <t>building surveying,architecture,cost consultancy</t>
        </is>
      </c>
      <c r="Q493" t="inlineStr">
        <is>
          <t>Not Found</t>
        </is>
      </c>
    </row>
    <row r="494">
      <c r="A494" t="inlineStr">
        <is>
          <t>54a6f09b7468696829794506</t>
        </is>
      </c>
      <c r="B494" t="inlineStr">
        <is>
          <t>Ross Wilkie</t>
        </is>
      </c>
      <c r="C494">
        <f>HYPERLINK("http://www.linkedin.com/in/ross-wilkie-32028b19")</f>
        <v/>
      </c>
      <c r="D494" t="inlineStr">
        <is>
          <t>Not Found</t>
        </is>
      </c>
      <c r="E494" t="inlineStr">
        <is>
          <t>Director</t>
        </is>
      </c>
      <c r="F494">
        <f>HYPERLINK("https://app.apollo.io/#/people/54a6f09b7468696829794506")</f>
        <v/>
      </c>
      <c r="G494" t="inlineStr">
        <is>
          <t>Colliers</t>
        </is>
      </c>
      <c r="H494">
        <f>HYPERLINK("https://app.apollo.io/#/accounts/64aaf6c63d556a0001e8eda6")</f>
        <v/>
      </c>
      <c r="I494">
        <f>HYPERLINK("http://www.colliers.com/")</f>
        <v/>
      </c>
      <c r="J494">
        <f>HYPERLINK("http://www.linkedin.com/company/colliers")</f>
        <v/>
      </c>
      <c r="K494">
        <f>HYPERLINK("https://twitter.com/Colliers")</f>
        <v/>
      </c>
      <c r="L494">
        <f>HYPERLINK("https://facebook.com/colliersinternational/")</f>
        <v/>
      </c>
      <c r="M494" t="inlineStr">
        <is>
          <t>Glasgow, United Kingdom</t>
        </is>
      </c>
      <c r="N494" t="inlineStr">
        <is>
          <t>25,000</t>
        </is>
      </c>
      <c r="O494" t="inlineStr">
        <is>
          <t>Commercial Real Estate</t>
        </is>
      </c>
      <c r="P494" t="inlineStr">
        <is>
          <t>brokerage &amp; agency,corporate solutions</t>
        </is>
      </c>
      <c r="Q494" t="inlineStr">
        <is>
          <t>Not Found</t>
        </is>
      </c>
    </row>
    <row r="495">
      <c r="A495" t="inlineStr">
        <is>
          <t>55e37f94f3e5bb746e001f36</t>
        </is>
      </c>
      <c r="B495" t="inlineStr">
        <is>
          <t>Jessica Short</t>
        </is>
      </c>
      <c r="C495">
        <f>HYPERLINK("http://www.linkedin.com/in/jessica-short-49353580")</f>
        <v/>
      </c>
      <c r="D495" t="inlineStr">
        <is>
          <t>Not Found</t>
        </is>
      </c>
      <c r="E495" t="inlineStr">
        <is>
          <t>Director</t>
        </is>
      </c>
      <c r="F495">
        <f>HYPERLINK("https://app.apollo.io/#/people/55e37f94f3e5bb746e001f36")</f>
        <v/>
      </c>
      <c r="G495" t="inlineStr">
        <is>
          <t>Colliers</t>
        </is>
      </c>
      <c r="H495">
        <f>HYPERLINK("https://app.apollo.io/#/accounts/64aaf6c63d556a0001e8eda6")</f>
        <v/>
      </c>
      <c r="I495">
        <f>HYPERLINK("http://www.colliers.com/")</f>
        <v/>
      </c>
      <c r="J495">
        <f>HYPERLINK("http://www.linkedin.com/company/colliers")</f>
        <v/>
      </c>
      <c r="K495">
        <f>HYPERLINK("https://twitter.com/Colliers")</f>
        <v/>
      </c>
      <c r="L495">
        <f>HYPERLINK("https://facebook.com/colliersinternational/")</f>
        <v/>
      </c>
      <c r="M495" t="inlineStr">
        <is>
          <t>London, United Kingdom</t>
        </is>
      </c>
      <c r="N495" t="inlineStr">
        <is>
          <t>25,000</t>
        </is>
      </c>
      <c r="O495" t="inlineStr">
        <is>
          <t>Commercial Real Estate</t>
        </is>
      </c>
      <c r="P495" t="inlineStr">
        <is>
          <t>brokerage &amp; agency,corporate solutions</t>
        </is>
      </c>
      <c r="Q495" t="inlineStr">
        <is>
          <t>Not Found</t>
        </is>
      </c>
    </row>
    <row r="496">
      <c r="A496" t="inlineStr">
        <is>
          <t>54a5853a74686938aca4ec99</t>
        </is>
      </c>
      <c r="B496" t="inlineStr">
        <is>
          <t>Sebastian Kalmar</t>
        </is>
      </c>
      <c r="C496">
        <f>HYPERLINK("http://www.linkedin.com/in/sebastian-kalmar-2635768a")</f>
        <v/>
      </c>
      <c r="D496" t="inlineStr">
        <is>
          <t>Not Found</t>
        </is>
      </c>
      <c r="E496" t="inlineStr">
        <is>
          <t>Director</t>
        </is>
      </c>
      <c r="F496">
        <f>HYPERLINK("https://app.apollo.io/#/people/54a5853a74686938aca4ec99")</f>
        <v/>
      </c>
      <c r="G496" t="inlineStr">
        <is>
          <t>KALMARs</t>
        </is>
      </c>
      <c r="H496">
        <f>HYPERLINK("https://app.apollo.io/#/organizations/556dc8e57369641276109201")</f>
        <v/>
      </c>
      <c r="I496">
        <f>HYPERLINK("http://www.kalmars.com/")</f>
        <v/>
      </c>
      <c r="J496">
        <f>HYPERLINK("http://www.linkedin.com/company/kalmars")</f>
        <v/>
      </c>
      <c r="K496">
        <f>HYPERLINK("https://twitter.com/kalmarsltd")</f>
        <v/>
      </c>
      <c r="L496">
        <f>HYPERLINK("https://www.facebook.com/profile.php")</f>
        <v/>
      </c>
      <c r="M496" t="inlineStr">
        <is>
          <t>London, United Kingdom</t>
        </is>
      </c>
      <c r="N496" t="inlineStr">
        <is>
          <t>18</t>
        </is>
      </c>
      <c r="O496" t="inlineStr">
        <is>
          <t>Commercial Real Estate</t>
        </is>
      </c>
      <c r="P496" t="inlineStr">
        <is>
          <t>estate agent,sales,marketing,development</t>
        </is>
      </c>
      <c r="Q496" t="inlineStr">
        <is>
          <t>Not Found</t>
        </is>
      </c>
    </row>
    <row r="497">
      <c r="A497" t="inlineStr">
        <is>
          <t>60a4cd65991c5600018c262b</t>
        </is>
      </c>
      <c r="B497" t="inlineStr">
        <is>
          <t>Thomas Maltby</t>
        </is>
      </c>
      <c r="C497">
        <f>HYPERLINK("http://www.linkedin.com/in/thomas-maltby-mrics-7b324153")</f>
        <v/>
      </c>
      <c r="D497" t="inlineStr">
        <is>
          <t>Not Found</t>
        </is>
      </c>
      <c r="E497" t="inlineStr">
        <is>
          <t>Director</t>
        </is>
      </c>
      <c r="F497">
        <f>HYPERLINK("https://app.apollo.io/#/people/60a4cd65991c5600018c262b")</f>
        <v/>
      </c>
      <c r="G497" t="inlineStr">
        <is>
          <t>CANMOOR</t>
        </is>
      </c>
      <c r="H497">
        <f>HYPERLINK("https://app.apollo.io/#/accounts/6578c31c48f92e01ae97bd25")</f>
        <v/>
      </c>
      <c r="I497">
        <f>HYPERLINK("http://www.canmoor.com/")</f>
        <v/>
      </c>
      <c r="J497">
        <f>HYPERLINK("http://www.linkedin.com/company/canmoor-asset-management-limited")</f>
        <v/>
      </c>
      <c r="K497">
        <f>HYPERLINK("Not Found")</f>
        <v/>
      </c>
      <c r="L497">
        <f>HYPERLINK("Not Found")</f>
        <v/>
      </c>
      <c r="M497" t="inlineStr">
        <is>
          <t>London, United Kingdom</t>
        </is>
      </c>
      <c r="N497" t="inlineStr">
        <is>
          <t>22</t>
        </is>
      </c>
      <c r="O497" t="inlineStr">
        <is>
          <t>Commercial Real Estate</t>
        </is>
      </c>
      <c r="Q497" t="inlineStr">
        <is>
          <t>Not Found</t>
        </is>
      </c>
    </row>
    <row r="498">
      <c r="A498" t="inlineStr">
        <is>
          <t>54a3e56e7468693442dde91b</t>
        </is>
      </c>
      <c r="B498" t="inlineStr">
        <is>
          <t>John Ciacca</t>
        </is>
      </c>
      <c r="C498">
        <f>HYPERLINK("http://www.linkedin.com/in/john-mark-di-ciacca-99731b17")</f>
        <v/>
      </c>
      <c r="D498" t="inlineStr">
        <is>
          <t>Not Found</t>
        </is>
      </c>
      <c r="E498" t="inlineStr">
        <is>
          <t>Director</t>
        </is>
      </c>
      <c r="F498">
        <f>HYPERLINK("https://app.apollo.io/#/people/54a3e56e7468693442dde91b")</f>
        <v/>
      </c>
      <c r="G498" t="inlineStr">
        <is>
          <t>JEF Consults Ltd</t>
        </is>
      </c>
      <c r="H498">
        <f>HYPERLINK("https://app.apollo.io/#/organizations/54a13c4d69702de5b38bdc01")</f>
        <v/>
      </c>
      <c r="I498">
        <f>HYPERLINK("http://www.jefdevelopments.com/")</f>
        <v/>
      </c>
      <c r="J498">
        <f>HYPERLINK("http://www.linkedin.com/company/jef-developments-ltd")</f>
        <v/>
      </c>
      <c r="K498">
        <f>HYPERLINK("Not Found")</f>
        <v/>
      </c>
      <c r="L498">
        <f>HYPERLINK("Not Found")</f>
        <v/>
      </c>
      <c r="M498" t="inlineStr">
        <is>
          <t>Edinburgh, United Kingdom</t>
        </is>
      </c>
      <c r="N498" t="inlineStr">
        <is>
          <t>3</t>
        </is>
      </c>
      <c r="O498" t="inlineStr">
        <is>
          <t>Commercial Real Estate</t>
        </is>
      </c>
      <c r="Q498" t="inlineStr">
        <is>
          <t>Not Found</t>
        </is>
      </c>
    </row>
    <row r="499">
      <c r="A499" t="inlineStr">
        <is>
          <t>5b30af10a6da98ebf6936c33</t>
        </is>
      </c>
      <c r="B499" t="inlineStr">
        <is>
          <t>Kevin Williams</t>
        </is>
      </c>
      <c r="C499">
        <f>HYPERLINK("http://www.linkedin.com/in/kevin-williams-62884a77")</f>
        <v/>
      </c>
      <c r="D499" t="inlineStr">
        <is>
          <t>Not Found</t>
        </is>
      </c>
      <c r="E499" t="inlineStr">
        <is>
          <t>Director</t>
        </is>
      </c>
      <c r="F499">
        <f>HYPERLINK("https://app.apollo.io/#/people/5b30af10a6da98ebf6936c33")</f>
        <v/>
      </c>
      <c r="G499" t="inlineStr">
        <is>
          <t>Precision Group</t>
        </is>
      </c>
      <c r="H499">
        <f>HYPERLINK("https://app.apollo.io/#/organizations/556dbc0f736964121f158d01")</f>
        <v/>
      </c>
      <c r="I499">
        <f>HYPERLINK("http://www.precision.com.au/")</f>
        <v/>
      </c>
      <c r="J499">
        <f>HYPERLINK("http://www.linkedin.com/company/precision-group-of-companies")</f>
        <v/>
      </c>
      <c r="K499">
        <f>HYPERLINK("Not Found")</f>
        <v/>
      </c>
      <c r="L499">
        <f>HYPERLINK("Not Found")</f>
        <v/>
      </c>
      <c r="M499" t="inlineStr">
        <is>
          <t>Belfast, United Kingdom</t>
        </is>
      </c>
      <c r="N499" t="inlineStr">
        <is>
          <t>77</t>
        </is>
      </c>
      <c r="O499" t="inlineStr">
        <is>
          <t>Commercial Real Estate</t>
        </is>
      </c>
      <c r="P499" t="inlineStr">
        <is>
          <t>commercial real estate,commercial property management</t>
        </is>
      </c>
      <c r="Q499" t="inlineStr">
        <is>
          <t>Not Found</t>
        </is>
      </c>
    </row>
    <row r="500">
      <c r="A500" t="inlineStr">
        <is>
          <t>54a3b4577468693b8c10200c</t>
        </is>
      </c>
      <c r="B500" t="inlineStr">
        <is>
          <t>Lorna Green</t>
        </is>
      </c>
      <c r="C500">
        <f>HYPERLINK("http://www.linkedin.com/in/lorna-green-2059a6b")</f>
        <v/>
      </c>
      <c r="D500" t="inlineStr">
        <is>
          <t>Not Found</t>
        </is>
      </c>
      <c r="E500" t="inlineStr">
        <is>
          <t>Director</t>
        </is>
      </c>
      <c r="F500">
        <f>HYPERLINK("https://app.apollo.io/#/people/54a3b4577468693b8c10200c")</f>
        <v/>
      </c>
      <c r="G500" t="inlineStr">
        <is>
          <t>Colliers</t>
        </is>
      </c>
      <c r="H500">
        <f>HYPERLINK("https://app.apollo.io/#/accounts/64aaf6c63d556a0001e8eda6")</f>
        <v/>
      </c>
      <c r="I500">
        <f>HYPERLINK("http://www.colliers.com/")</f>
        <v/>
      </c>
      <c r="J500">
        <f>HYPERLINK("http://www.linkedin.com/company/colliers")</f>
        <v/>
      </c>
      <c r="K500">
        <f>HYPERLINK("https://twitter.com/Colliers")</f>
        <v/>
      </c>
      <c r="L500">
        <f>HYPERLINK("https://facebook.com/colliersinternational/")</f>
        <v/>
      </c>
      <c r="M500" t="inlineStr">
        <is>
          <t>London, United Kingdom</t>
        </is>
      </c>
      <c r="N500" t="inlineStr">
        <is>
          <t>25,000</t>
        </is>
      </c>
      <c r="O500" t="inlineStr">
        <is>
          <t>Commercial Real Estate</t>
        </is>
      </c>
      <c r="P500" t="inlineStr">
        <is>
          <t>brokerage &amp; agency,corporate solutions</t>
        </is>
      </c>
      <c r="Q500" t="inlineStr">
        <is>
          <t>Not Found</t>
        </is>
      </c>
    </row>
    <row r="501">
      <c r="A501" t="inlineStr">
        <is>
          <t>54a7abeb746869730a9b434b</t>
        </is>
      </c>
      <c r="B501" t="inlineStr">
        <is>
          <t>Andrew Lamb</t>
        </is>
      </c>
      <c r="C501">
        <f>HYPERLINK("http://www.linkedin.com/in/andrew-lamb-33156027")</f>
        <v/>
      </c>
      <c r="D501" t="inlineStr">
        <is>
          <t>Not Found</t>
        </is>
      </c>
      <c r="E501" t="inlineStr">
        <is>
          <t>Director</t>
        </is>
      </c>
      <c r="F501">
        <f>HYPERLINK("https://app.apollo.io/#/people/54a7abeb746869730a9b434b")</f>
        <v/>
      </c>
      <c r="G501" t="inlineStr">
        <is>
          <t>Harris Lamb</t>
        </is>
      </c>
      <c r="H501">
        <f>HYPERLINK("https://app.apollo.io/#/accounts/6578c3e448f92e01ae97c213")</f>
        <v/>
      </c>
      <c r="I501">
        <f>HYPERLINK("http://www.harrislamb.com/")</f>
        <v/>
      </c>
      <c r="J501">
        <f>HYPERLINK("http://www.linkedin.com/company/harris-lamb")</f>
        <v/>
      </c>
      <c r="K501">
        <f>HYPERLINK("https://twitter.com/harris_lamb")</f>
        <v/>
      </c>
      <c r="L501">
        <f>HYPERLINK("https://www.facebook.com/HarrisLamb")</f>
        <v/>
      </c>
      <c r="M501" t="inlineStr">
        <is>
          <t>England, United Kingdom</t>
        </is>
      </c>
      <c r="N501" t="inlineStr">
        <is>
          <t>69</t>
        </is>
      </c>
      <c r="O501" t="inlineStr">
        <is>
          <t>Commercial Real Estate</t>
        </is>
      </c>
      <c r="P501" t="inlineStr">
        <is>
          <t>commercial real estate,property consultancy</t>
        </is>
      </c>
      <c r="Q501" t="inlineStr">
        <is>
          <t>Not Found</t>
        </is>
      </c>
    </row>
    <row r="502">
      <c r="A502" t="inlineStr">
        <is>
          <t>5b2c3ad6a6da9863d9e69073</t>
        </is>
      </c>
      <c r="B502" t="inlineStr">
        <is>
          <t>Stephen Rose</t>
        </is>
      </c>
      <c r="C502">
        <f>HYPERLINK("http://www.linkedin.com/in/stephen-rose-96785710")</f>
        <v/>
      </c>
      <c r="D502" t="inlineStr">
        <is>
          <t>Not Found</t>
        </is>
      </c>
      <c r="E502" t="inlineStr">
        <is>
          <t>Director</t>
        </is>
      </c>
      <c r="F502">
        <f>HYPERLINK("https://app.apollo.io/#/people/5b2c3ad6a6da9863d9e69073")</f>
        <v/>
      </c>
      <c r="G502" t="inlineStr">
        <is>
          <t>Rose Commercial Real Estate, LLC</t>
        </is>
      </c>
      <c r="H502">
        <f>HYPERLINK("https://app.apollo.io/#/organizations/5cb90666a3ae61aa093c0839")</f>
        <v/>
      </c>
      <c r="I502">
        <f>HYPERLINK("http://www.rosecommercial.com/")</f>
        <v/>
      </c>
      <c r="J502">
        <f>HYPERLINK("http://www.linkedin.com/company/rose-commercial-real-estate-llc")</f>
        <v/>
      </c>
      <c r="K502">
        <f>HYPERLINK("https://twitter.com/RoseCommercial/")</f>
        <v/>
      </c>
      <c r="L502">
        <f>HYPERLINK("https://www.facebook.com/Rose.Commercial.Real.Estate.NJ/")</f>
        <v/>
      </c>
      <c r="M502" t="inlineStr">
        <is>
          <t>Stockton-on-Tees, United Kingdom</t>
        </is>
      </c>
      <c r="N502" t="inlineStr">
        <is>
          <t>11</t>
        </is>
      </c>
      <c r="O502" t="inlineStr">
        <is>
          <t>Commercial Real Estate</t>
        </is>
      </c>
      <c r="P502" t="inlineStr">
        <is>
          <t>office,medical,corporate,flex,leasing</t>
        </is>
      </c>
      <c r="Q502" t="inlineStr">
        <is>
          <t>Not Found</t>
        </is>
      </c>
    </row>
    <row r="503">
      <c r="A503" t="inlineStr">
        <is>
          <t>54a5124a7468692fa239ea7a</t>
        </is>
      </c>
      <c r="B503" t="inlineStr">
        <is>
          <t>Paul Bugeja</t>
        </is>
      </c>
      <c r="C503">
        <f>HYPERLINK("http://www.linkedin.com/in/paul-bugeja-bb252a5a")</f>
        <v/>
      </c>
      <c r="D503" t="inlineStr">
        <is>
          <t>Not Found</t>
        </is>
      </c>
      <c r="E503" t="inlineStr">
        <is>
          <t>Director</t>
        </is>
      </c>
      <c r="F503">
        <f>HYPERLINK("https://app.apollo.io/#/people/54a5124a7468692fa239ea7a")</f>
        <v/>
      </c>
      <c r="G503" t="inlineStr">
        <is>
          <t>Colliers</t>
        </is>
      </c>
      <c r="H503">
        <f>HYPERLINK("https://app.apollo.io/#/accounts/64aaf6c63d556a0001e8eda6")</f>
        <v/>
      </c>
      <c r="I503">
        <f>HYPERLINK("http://www.colliers.com/")</f>
        <v/>
      </c>
      <c r="J503">
        <f>HYPERLINK("http://www.linkedin.com/company/colliers")</f>
        <v/>
      </c>
      <c r="K503">
        <f>HYPERLINK("https://twitter.com/Colliers")</f>
        <v/>
      </c>
      <c r="L503">
        <f>HYPERLINK("https://facebook.com/colliersinternational/")</f>
        <v/>
      </c>
      <c r="M503" t="inlineStr">
        <is>
          <t>London, United Kingdom</t>
        </is>
      </c>
      <c r="N503" t="inlineStr">
        <is>
          <t>25,000</t>
        </is>
      </c>
      <c r="O503" t="inlineStr">
        <is>
          <t>Commercial Real Estate</t>
        </is>
      </c>
      <c r="P503" t="inlineStr">
        <is>
          <t>brokerage &amp; agency,corporate solutions</t>
        </is>
      </c>
      <c r="Q503" t="inlineStr">
        <is>
          <t>Not Found</t>
        </is>
      </c>
    </row>
    <row r="504">
      <c r="A504" t="inlineStr">
        <is>
          <t>54a563a67468693b8cc44694</t>
        </is>
      </c>
      <c r="B504" t="inlineStr">
        <is>
          <t>Chris Shearer</t>
        </is>
      </c>
      <c r="C504">
        <f>HYPERLINK("http://www.linkedin.com/in/chris-shearer-79859961")</f>
        <v/>
      </c>
      <c r="D504" t="inlineStr">
        <is>
          <t>Not Found</t>
        </is>
      </c>
      <c r="E504" t="inlineStr">
        <is>
          <t>Director</t>
        </is>
      </c>
      <c r="F504">
        <f>HYPERLINK("https://app.apollo.io/#/people/54a563a67468693b8cc44694")</f>
        <v/>
      </c>
      <c r="G504" t="inlineStr">
        <is>
          <t>Colliers</t>
        </is>
      </c>
      <c r="H504">
        <f>HYPERLINK("https://app.apollo.io/#/accounts/64aaf6c63d556a0001e8eda6")</f>
        <v/>
      </c>
      <c r="I504">
        <f>HYPERLINK("http://www.colliers.com/")</f>
        <v/>
      </c>
      <c r="J504">
        <f>HYPERLINK("http://www.linkedin.com/company/colliers")</f>
        <v/>
      </c>
      <c r="K504">
        <f>HYPERLINK("https://twitter.com/Colliers")</f>
        <v/>
      </c>
      <c r="L504">
        <f>HYPERLINK("https://facebook.com/colliersinternational/")</f>
        <v/>
      </c>
      <c r="M504" t="inlineStr">
        <is>
          <t>London, United Kingdom</t>
        </is>
      </c>
      <c r="N504" t="inlineStr">
        <is>
          <t>25,000</t>
        </is>
      </c>
      <c r="O504" t="inlineStr">
        <is>
          <t>Commercial Real Estate</t>
        </is>
      </c>
      <c r="P504" t="inlineStr">
        <is>
          <t>brokerage &amp; agency,corporate solutions</t>
        </is>
      </c>
      <c r="Q504" t="inlineStr">
        <is>
          <t>Not Found</t>
        </is>
      </c>
    </row>
    <row r="505">
      <c r="A505" t="inlineStr">
        <is>
          <t>54a1395869702db45d332f00</t>
        </is>
      </c>
      <c r="B505" t="inlineStr">
        <is>
          <t>Tom Farkas</t>
        </is>
      </c>
      <c r="C505">
        <f>HYPERLINK("http://www.linkedin.com/in/tom-farkas-b8210645")</f>
        <v/>
      </c>
      <c r="D505" t="inlineStr">
        <is>
          <t>Not Found</t>
        </is>
      </c>
      <c r="E505" t="inlineStr">
        <is>
          <t>Director</t>
        </is>
      </c>
      <c r="F505">
        <f>HYPERLINK("https://app.apollo.io/#/people/54a1395869702db45d332f00")</f>
        <v/>
      </c>
      <c r="G505" t="inlineStr">
        <is>
          <t>Colliers</t>
        </is>
      </c>
      <c r="H505">
        <f>HYPERLINK("https://app.apollo.io/#/accounts/64aaf6c63d556a0001e8eda6")</f>
        <v/>
      </c>
      <c r="I505">
        <f>HYPERLINK("http://www.colliers.com/")</f>
        <v/>
      </c>
      <c r="J505">
        <f>HYPERLINK("http://www.linkedin.com/company/colliers")</f>
        <v/>
      </c>
      <c r="K505">
        <f>HYPERLINK("https://twitter.com/Colliers")</f>
        <v/>
      </c>
      <c r="L505">
        <f>HYPERLINK("https://facebook.com/colliersinternational/")</f>
        <v/>
      </c>
      <c r="M505" t="inlineStr">
        <is>
          <t>London, United Kingdom</t>
        </is>
      </c>
      <c r="N505" t="inlineStr">
        <is>
          <t>25,000</t>
        </is>
      </c>
      <c r="O505" t="inlineStr">
        <is>
          <t>Commercial Real Estate</t>
        </is>
      </c>
      <c r="P505" t="inlineStr">
        <is>
          <t>brokerage &amp; agency,corporate solutions</t>
        </is>
      </c>
      <c r="Q505" t="inlineStr">
        <is>
          <t>Not Found</t>
        </is>
      </c>
    </row>
    <row r="506">
      <c r="A506" t="inlineStr">
        <is>
          <t>5abe2be2a6da9840f4363793</t>
        </is>
      </c>
      <c r="B506" t="inlineStr">
        <is>
          <t>Chris Green</t>
        </is>
      </c>
      <c r="C506">
        <f>HYPERLINK("http://www.linkedin.com/in/chris-green-42862840")</f>
        <v/>
      </c>
      <c r="D506" t="inlineStr">
        <is>
          <t>Not Found</t>
        </is>
      </c>
      <c r="E506" t="inlineStr">
        <is>
          <t>Director</t>
        </is>
      </c>
      <c r="F506">
        <f>HYPERLINK("https://app.apollo.io/#/people/5abe2be2a6da9840f4363793")</f>
        <v/>
      </c>
      <c r="G506" t="inlineStr">
        <is>
          <t>Colliers</t>
        </is>
      </c>
      <c r="H506">
        <f>HYPERLINK("https://app.apollo.io/#/accounts/64aaf6c63d556a0001e8eda6")</f>
        <v/>
      </c>
      <c r="I506">
        <f>HYPERLINK("http://www.colliers.com/")</f>
        <v/>
      </c>
      <c r="J506">
        <f>HYPERLINK("http://www.linkedin.com/company/colliers")</f>
        <v/>
      </c>
      <c r="K506">
        <f>HYPERLINK("https://twitter.com/Colliers")</f>
        <v/>
      </c>
      <c r="L506">
        <f>HYPERLINK("https://facebook.com/colliersinternational/")</f>
        <v/>
      </c>
      <c r="M506" t="inlineStr">
        <is>
          <t>England, United Kingdom</t>
        </is>
      </c>
      <c r="N506" t="inlineStr">
        <is>
          <t>25,000</t>
        </is>
      </c>
      <c r="O506" t="inlineStr">
        <is>
          <t>Commercial Real Estate</t>
        </is>
      </c>
      <c r="P506" t="inlineStr">
        <is>
          <t>brokerage &amp; agency,corporate solutions</t>
        </is>
      </c>
      <c r="Q506" t="inlineStr">
        <is>
          <t>Not Found</t>
        </is>
      </c>
    </row>
    <row r="507">
      <c r="A507" t="inlineStr">
        <is>
          <t>pdphilip</t>
        </is>
      </c>
      <c r="C507">
        <f>HYPERLINK("http://www.linkedin.com/in/davidphilip1")</f>
        <v/>
      </c>
      <c r="D507" t="inlineStr">
        <is>
          <t>Not Found</t>
        </is>
      </c>
      <c r="E507" t="inlineStr">
        <is>
          <t>Director</t>
        </is>
      </c>
      <c r="F507">
        <f>HYPERLINK("https://twitter.com/pdphilip")</f>
        <v/>
      </c>
      <c r="G507" t="inlineStr">
        <is>
          <t>Colliers</t>
        </is>
      </c>
      <c r="H507">
        <f>HYPERLINK("https://app.apollo.io/#/accounts/64aaf6c63d556a0001e8eda6")</f>
        <v/>
      </c>
      <c r="I507">
        <f>HYPERLINK("http://www.colliers.com/")</f>
        <v/>
      </c>
      <c r="J507">
        <f>HYPERLINK("http://www.linkedin.com/company/colliers")</f>
        <v/>
      </c>
      <c r="K507">
        <f>HYPERLINK("https://twitter.com/Colliers")</f>
        <v/>
      </c>
      <c r="L507">
        <f>HYPERLINK("https://facebook.com/colliersinternational/")</f>
        <v/>
      </c>
      <c r="M507" t="inlineStr">
        <is>
          <t>Edinburgh, United Kingdom</t>
        </is>
      </c>
      <c r="N507" t="inlineStr">
        <is>
          <t>25,000</t>
        </is>
      </c>
      <c r="O507" t="inlineStr">
        <is>
          <t>Commercial Real Estate</t>
        </is>
      </c>
      <c r="P507" t="inlineStr">
        <is>
          <t>brokerage &amp; agency,corporate solutions</t>
        </is>
      </c>
      <c r="Q507" t="inlineStr">
        <is>
          <t>Not Found</t>
        </is>
      </c>
    </row>
    <row r="508">
      <c r="A508" t="inlineStr">
        <is>
          <t>54a6ebe5746869730a2c7804</t>
        </is>
      </c>
      <c r="B508" t="inlineStr">
        <is>
          <t>Miles Hunter</t>
        </is>
      </c>
      <c r="C508">
        <f>HYPERLINK("http://www.linkedin.com/in/miles-hunter-mrics-92019936")</f>
        <v/>
      </c>
      <c r="D508" t="inlineStr">
        <is>
          <t>Not Found</t>
        </is>
      </c>
      <c r="E508" t="inlineStr">
        <is>
          <t>Director</t>
        </is>
      </c>
      <c r="F508">
        <f>HYPERLINK("https://app.apollo.io/#/people/54a6ebe5746869730a2c7804")</f>
        <v/>
      </c>
      <c r="G508" t="inlineStr">
        <is>
          <t>Colliers</t>
        </is>
      </c>
      <c r="H508">
        <f>HYPERLINK("https://app.apollo.io/#/accounts/64aaf6c63d556a0001e8eda6")</f>
        <v/>
      </c>
      <c r="I508">
        <f>HYPERLINK("http://www.colliers.com/")</f>
        <v/>
      </c>
      <c r="J508">
        <f>HYPERLINK("http://www.linkedin.com/company/colliers")</f>
        <v/>
      </c>
      <c r="K508">
        <f>HYPERLINK("https://twitter.com/Colliers")</f>
        <v/>
      </c>
      <c r="L508">
        <f>HYPERLINK("https://facebook.com/colliersinternational/")</f>
        <v/>
      </c>
      <c r="M508" t="inlineStr">
        <is>
          <t>London, United Kingdom</t>
        </is>
      </c>
      <c r="N508" t="inlineStr">
        <is>
          <t>25,000</t>
        </is>
      </c>
      <c r="O508" t="inlineStr">
        <is>
          <t>Commercial Real Estate</t>
        </is>
      </c>
      <c r="P508" t="inlineStr">
        <is>
          <t>brokerage &amp; agency,corporate solutions</t>
        </is>
      </c>
      <c r="Q508" t="inlineStr">
        <is>
          <t>Not Found</t>
        </is>
      </c>
    </row>
    <row r="509">
      <c r="A509" t="inlineStr">
        <is>
          <t>54a438fb7468693442b93836</t>
        </is>
      </c>
      <c r="B509" t="inlineStr">
        <is>
          <t>James Charnaud</t>
        </is>
      </c>
      <c r="C509">
        <f>HYPERLINK("http://www.linkedin.com/in/james-charnaud-50575511")</f>
        <v/>
      </c>
      <c r="D509" t="inlineStr">
        <is>
          <t>Not Found</t>
        </is>
      </c>
      <c r="E509" t="inlineStr">
        <is>
          <t>Director</t>
        </is>
      </c>
      <c r="F509">
        <f>HYPERLINK("https://app.apollo.io/#/people/54a438fb7468693442b93836")</f>
        <v/>
      </c>
      <c r="G509" t="inlineStr">
        <is>
          <t>EMC Real Estate</t>
        </is>
      </c>
      <c r="H509">
        <f>HYPERLINK("https://app.apollo.io/#/organizations/556944b3736964211d3f2400")</f>
        <v/>
      </c>
      <c r="I509">
        <f>HYPERLINK("http://www.emc-re.com/")</f>
        <v/>
      </c>
      <c r="J509">
        <f>HYPERLINK("http://www.linkedin.com/company/emc-real-estate")</f>
        <v/>
      </c>
      <c r="K509">
        <f>HYPERLINK("Not Found")</f>
        <v/>
      </c>
      <c r="L509">
        <f>HYPERLINK("Not Found")</f>
        <v/>
      </c>
      <c r="M509" t="inlineStr">
        <is>
          <t>London, United Kingdom</t>
        </is>
      </c>
      <c r="N509" t="inlineStr">
        <is>
          <t>15</t>
        </is>
      </c>
      <c r="O509" t="inlineStr">
        <is>
          <t>Commercial Real Estate</t>
        </is>
      </c>
      <c r="P509" t="inlineStr">
        <is>
          <t>valuation,emerging markets,research,consultancy</t>
        </is>
      </c>
      <c r="Q509" t="inlineStr">
        <is>
          <t>Not Found</t>
        </is>
      </c>
    </row>
    <row r="510">
      <c r="A510" t="inlineStr">
        <is>
          <t>5db543f166d104000128d3c7</t>
        </is>
      </c>
      <c r="B510" t="inlineStr">
        <is>
          <t>Charlie C.</t>
        </is>
      </c>
      <c r="C510">
        <f>HYPERLINK("http://www.linkedin.com/in/charlie-c-77316762")</f>
        <v/>
      </c>
      <c r="D510" t="inlineStr">
        <is>
          <t>Not Found</t>
        </is>
      </c>
      <c r="E510" t="inlineStr">
        <is>
          <t>Director</t>
        </is>
      </c>
      <c r="F510">
        <f>HYPERLINK("https://app.apollo.io/#/people/5db543f166d104000128d3c7")</f>
        <v/>
      </c>
      <c r="G510" t="inlineStr">
        <is>
          <t>HOUSING</t>
        </is>
      </c>
      <c r="H510">
        <f>HYPERLINK("https://app.apollo.io/#/organizations/556dd24e736964122f219c01")</f>
        <v/>
      </c>
      <c r="I510">
        <f>HYPERLINK("http://www.condominiosperu.com/")</f>
        <v/>
      </c>
      <c r="J510">
        <f>HYPERLINK("http://www.linkedin.com/company/housing-sac")</f>
        <v/>
      </c>
      <c r="K510">
        <f>HYPERLINK("Not Found")</f>
        <v/>
      </c>
      <c r="L510">
        <f>HYPERLINK("Not Found")</f>
        <v/>
      </c>
      <c r="M510" t="inlineStr">
        <is>
          <t>London, United Kingdom</t>
        </is>
      </c>
      <c r="N510" t="inlineStr">
        <is>
          <t>70</t>
        </is>
      </c>
      <c r="O510" t="inlineStr">
        <is>
          <t>Commercial Real Estate</t>
        </is>
      </c>
      <c r="P510" t="inlineStr">
        <is>
          <t>management building,administracion de edificios</t>
        </is>
      </c>
      <c r="Q510" t="inlineStr">
        <is>
          <t>Not Found</t>
        </is>
      </c>
    </row>
    <row r="511">
      <c r="A511" t="inlineStr">
        <is>
          <t>5ac40f95a6da9814625f6ab4</t>
        </is>
      </c>
      <c r="B511" t="inlineStr">
        <is>
          <t>Keith Quigley</t>
        </is>
      </c>
      <c r="C511">
        <f>HYPERLINK("http://www.linkedin.com/in/keith-quigley-591015130")</f>
        <v/>
      </c>
      <c r="D511" t="inlineStr">
        <is>
          <t>Not Found</t>
        </is>
      </c>
      <c r="E511" t="inlineStr">
        <is>
          <t>Director</t>
        </is>
      </c>
      <c r="F511">
        <f>HYPERLINK("https://app.apollo.io/#/people/5ac40f95a6da9814625f6ab4")</f>
        <v/>
      </c>
      <c r="G511" t="inlineStr">
        <is>
          <t>Colliers</t>
        </is>
      </c>
      <c r="H511">
        <f>HYPERLINK("https://app.apollo.io/#/accounts/64aaf6c63d556a0001e8eda6")</f>
        <v/>
      </c>
      <c r="I511">
        <f>HYPERLINK("http://www.colliers.com/")</f>
        <v/>
      </c>
      <c r="J511">
        <f>HYPERLINK("http://www.linkedin.com/company/colliers")</f>
        <v/>
      </c>
      <c r="K511">
        <f>HYPERLINK("https://twitter.com/Colliers")</f>
        <v/>
      </c>
      <c r="L511">
        <f>HYPERLINK("https://facebook.com/colliersinternational/")</f>
        <v/>
      </c>
      <c r="M511" t="inlineStr">
        <is>
          <t>Manchester, United Kingdom</t>
        </is>
      </c>
      <c r="N511" t="inlineStr">
        <is>
          <t>25,000</t>
        </is>
      </c>
      <c r="O511" t="inlineStr">
        <is>
          <t>Commercial Real Estate</t>
        </is>
      </c>
      <c r="P511" t="inlineStr">
        <is>
          <t>brokerage &amp; agency,corporate solutions</t>
        </is>
      </c>
      <c r="Q511" t="inlineStr">
        <is>
          <t>Not Found</t>
        </is>
      </c>
    </row>
    <row r="512">
      <c r="A512" t="inlineStr">
        <is>
          <t>5ad9005fa6da98e3e67f0b70</t>
        </is>
      </c>
      <c r="B512" t="inlineStr">
        <is>
          <t>Ben Sullivan</t>
        </is>
      </c>
      <c r="C512">
        <f>HYPERLINK("http://www.linkedin.com/in/ben-sullivan-35958a35")</f>
        <v/>
      </c>
      <c r="D512" t="inlineStr">
        <is>
          <t>Not Found</t>
        </is>
      </c>
      <c r="E512" t="inlineStr">
        <is>
          <t>Director</t>
        </is>
      </c>
      <c r="F512">
        <f>HYPERLINK("https://app.apollo.io/#/people/5ad9005fa6da98e3e67f0b70")</f>
        <v/>
      </c>
      <c r="G512" t="inlineStr">
        <is>
          <t>Apex Parking</t>
        </is>
      </c>
      <c r="H512">
        <f>HYPERLINK("https://app.apollo.io/#/organizations/5592310a7369641739c56000")</f>
        <v/>
      </c>
      <c r="I512">
        <f>HYPERLINK("http://www.apex-parking.co.uk/")</f>
        <v/>
      </c>
      <c r="J512">
        <f>HYPERLINK("http://www.linkedin.com/company/apex-parking")</f>
        <v/>
      </c>
      <c r="K512">
        <f>HYPERLINK("https://twitter.com/ApexParking")</f>
        <v/>
      </c>
      <c r="L512">
        <f>HYPERLINK("Not Found")</f>
        <v/>
      </c>
      <c r="M512" t="inlineStr">
        <is>
          <t>United Kingdom</t>
        </is>
      </c>
      <c r="N512" t="inlineStr">
        <is>
          <t>2</t>
        </is>
      </c>
      <c r="O512" t="inlineStr">
        <is>
          <t>Commercial Real Estate</t>
        </is>
      </c>
      <c r="Q512" t="inlineStr">
        <is>
          <t>Not Found</t>
        </is>
      </c>
    </row>
    <row r="513">
      <c r="A513" t="inlineStr">
        <is>
          <t>603eec71c1ec730001a97a1e</t>
        </is>
      </c>
      <c r="B513" t="inlineStr">
        <is>
          <t>Andrew Groves</t>
        </is>
      </c>
      <c r="C513">
        <f>HYPERLINK("http://www.linkedin.com/in/andrew-groves-harris-lamb")</f>
        <v/>
      </c>
      <c r="D513" t="inlineStr">
        <is>
          <t>Not Found</t>
        </is>
      </c>
      <c r="E513" t="inlineStr">
        <is>
          <t>Director</t>
        </is>
      </c>
      <c r="F513">
        <f>HYPERLINK("https://app.apollo.io/#/people/603eec71c1ec730001a97a1e")</f>
        <v/>
      </c>
      <c r="G513" t="inlineStr">
        <is>
          <t>Harris Lamb</t>
        </is>
      </c>
      <c r="H513">
        <f>HYPERLINK("https://app.apollo.io/#/accounts/6578c3e448f92e01ae97c213")</f>
        <v/>
      </c>
      <c r="I513">
        <f>HYPERLINK("http://www.harrislamb.com/")</f>
        <v/>
      </c>
      <c r="J513">
        <f>HYPERLINK("http://www.linkedin.com/company/harris-lamb")</f>
        <v/>
      </c>
      <c r="K513">
        <f>HYPERLINK("https://twitter.com/harris_lamb")</f>
        <v/>
      </c>
      <c r="L513">
        <f>HYPERLINK("https://www.facebook.com/HarrisLamb")</f>
        <v/>
      </c>
      <c r="M513" t="inlineStr">
        <is>
          <t>Stoke-on-Trent, United Kingdom</t>
        </is>
      </c>
      <c r="N513" t="inlineStr">
        <is>
          <t>69</t>
        </is>
      </c>
      <c r="O513" t="inlineStr">
        <is>
          <t>Commercial Real Estate</t>
        </is>
      </c>
      <c r="P513" t="inlineStr">
        <is>
          <t>commercial real estate,property consultancy</t>
        </is>
      </c>
      <c r="Q513" t="inlineStr">
        <is>
          <t>Not Found</t>
        </is>
      </c>
    </row>
    <row r="514">
      <c r="A514" t="inlineStr">
        <is>
          <t>63f2b19d49300b00017fd954</t>
        </is>
      </c>
      <c r="B514" t="inlineStr">
        <is>
          <t>Gary Dipscm</t>
        </is>
      </c>
      <c r="C514">
        <f>HYPERLINK("http://www.linkedin.com/in/gary-metcalf-dipscm-miwfm-53271a16a")</f>
        <v/>
      </c>
      <c r="D514" t="inlineStr">
        <is>
          <t>Not Found</t>
        </is>
      </c>
      <c r="E514" t="inlineStr">
        <is>
          <t>Director</t>
        </is>
      </c>
      <c r="F514">
        <f>HYPERLINK("https://app.apollo.io/#/people/63f2b19d49300b00017fd954")</f>
        <v/>
      </c>
      <c r="G514" t="inlineStr">
        <is>
          <t>Ashdown Phillips</t>
        </is>
      </c>
      <c r="H514">
        <f>HYPERLINK("https://app.apollo.io/#/organizations/55f7c16bf3e5bb1ca0000d1d")</f>
        <v/>
      </c>
      <c r="I514">
        <f>HYPERLINK("http://www.ashdownphillips.com/")</f>
        <v/>
      </c>
      <c r="J514">
        <f>HYPERLINK("http://www.linkedin.com/company/ashdown-phillips-&amp;-partners-limited")</f>
        <v/>
      </c>
      <c r="K514">
        <f>HYPERLINK("https://twitter.com/AshdownPhillips")</f>
        <v/>
      </c>
      <c r="L514">
        <f>HYPERLINK("Not Found")</f>
        <v/>
      </c>
      <c r="M514" t="inlineStr">
        <is>
          <t>London, United Kingdom</t>
        </is>
      </c>
      <c r="N514" t="inlineStr">
        <is>
          <t>130</t>
        </is>
      </c>
      <c r="O514" t="inlineStr">
        <is>
          <t>Commercial Real Estate</t>
        </is>
      </c>
      <c r="P514" t="inlineStr">
        <is>
          <t>commercial real estate,property management</t>
        </is>
      </c>
      <c r="Q514" t="inlineStr">
        <is>
          <t>Not Found</t>
        </is>
      </c>
    </row>
    <row r="515">
      <c r="A515" t="inlineStr">
        <is>
          <t>54a4e5f07468692fa271716c</t>
        </is>
      </c>
      <c r="B515" t="inlineStr">
        <is>
          <t>Kathryn Redgers</t>
        </is>
      </c>
      <c r="C515">
        <f>HYPERLINK("http://www.linkedin.com/in/kathryn-redgers-13393474")</f>
        <v/>
      </c>
      <c r="D515" t="inlineStr">
        <is>
          <t>Not Found</t>
        </is>
      </c>
      <c r="E515" t="inlineStr">
        <is>
          <t>Director</t>
        </is>
      </c>
      <c r="F515">
        <f>HYPERLINK("https://app.apollo.io/#/people/54a4e5f07468692fa271716c")</f>
        <v/>
      </c>
      <c r="G515" t="inlineStr">
        <is>
          <t>Colliers</t>
        </is>
      </c>
      <c r="H515">
        <f>HYPERLINK("https://app.apollo.io/#/accounts/64aaf6c63d556a0001e8eda6")</f>
        <v/>
      </c>
      <c r="I515">
        <f>HYPERLINK("http://www.colliers.com/")</f>
        <v/>
      </c>
      <c r="J515">
        <f>HYPERLINK("http://www.linkedin.com/company/colliers")</f>
        <v/>
      </c>
      <c r="K515">
        <f>HYPERLINK("https://twitter.com/Colliers")</f>
        <v/>
      </c>
      <c r="L515">
        <f>HYPERLINK("https://facebook.com/colliersinternational/")</f>
        <v/>
      </c>
      <c r="M515" t="inlineStr">
        <is>
          <t>Great Chart, United Kingdom</t>
        </is>
      </c>
      <c r="N515" t="inlineStr">
        <is>
          <t>25,000</t>
        </is>
      </c>
      <c r="O515" t="inlineStr">
        <is>
          <t>Commercial Real Estate</t>
        </is>
      </c>
      <c r="P515" t="inlineStr">
        <is>
          <t>brokerage &amp; agency,corporate solutions</t>
        </is>
      </c>
      <c r="Q515" t="inlineStr">
        <is>
          <t>Not Found</t>
        </is>
      </c>
    </row>
    <row r="516">
      <c r="A516" t="inlineStr">
        <is>
          <t>624bfc6446d695000104cab4</t>
        </is>
      </c>
      <c r="B516" t="inlineStr">
        <is>
          <t>Dominic Hoole</t>
        </is>
      </c>
      <c r="C516">
        <f>HYPERLINK("http://www.linkedin.com/in/dominic-hoole-mrics-a8389059")</f>
        <v/>
      </c>
      <c r="D516" t="inlineStr">
        <is>
          <t>Not Found</t>
        </is>
      </c>
      <c r="E516" t="inlineStr">
        <is>
          <t>Director</t>
        </is>
      </c>
      <c r="F516">
        <f>HYPERLINK("https://app.apollo.io/#/people/624bfc6446d695000104cab4")</f>
        <v/>
      </c>
      <c r="G516" t="inlineStr">
        <is>
          <t>Colliers</t>
        </is>
      </c>
      <c r="H516">
        <f>HYPERLINK("https://app.apollo.io/#/accounts/64aaf6c63d556a0001e8eda6")</f>
        <v/>
      </c>
      <c r="I516">
        <f>HYPERLINK("http://www.colliers.com/")</f>
        <v/>
      </c>
      <c r="J516">
        <f>HYPERLINK("http://www.linkedin.com/company/colliers")</f>
        <v/>
      </c>
      <c r="K516">
        <f>HYPERLINK("https://twitter.com/Colliers")</f>
        <v/>
      </c>
      <c r="L516">
        <f>HYPERLINK("https://facebook.com/colliersinternational/")</f>
        <v/>
      </c>
      <c r="M516" t="inlineStr">
        <is>
          <t>United Kingdom</t>
        </is>
      </c>
      <c r="N516" t="inlineStr">
        <is>
          <t>25,000</t>
        </is>
      </c>
      <c r="O516" t="inlineStr">
        <is>
          <t>Commercial Real Estate</t>
        </is>
      </c>
      <c r="P516" t="inlineStr">
        <is>
          <t>brokerage &amp; agency,corporate solutions</t>
        </is>
      </c>
      <c r="Q516" t="inlineStr">
        <is>
          <t>Not Found</t>
        </is>
      </c>
    </row>
    <row r="517">
      <c r="A517" t="inlineStr">
        <is>
          <t>54aa057f7468692d1c0d781c</t>
        </is>
      </c>
      <c r="B517" t="inlineStr">
        <is>
          <t>Katie Snape</t>
        </is>
      </c>
      <c r="C517">
        <f>HYPERLINK("http://www.linkedin.com/in/katiesmithmrics")</f>
        <v/>
      </c>
      <c r="D517" t="inlineStr">
        <is>
          <t>Not Found</t>
        </is>
      </c>
      <c r="E517" t="inlineStr">
        <is>
          <t>Director</t>
        </is>
      </c>
      <c r="F517">
        <f>HYPERLINK("https://app.apollo.io/#/people/54aa057f7468692d1c0d781c")</f>
        <v/>
      </c>
      <c r="G517" t="inlineStr">
        <is>
          <t>Colliers</t>
        </is>
      </c>
      <c r="H517">
        <f>HYPERLINK("https://app.apollo.io/#/accounts/6578c2e248f92e02cc97a7cd")</f>
        <v/>
      </c>
      <c r="I517">
        <f>HYPERLINK("http://www.colliers.com/")</f>
        <v/>
      </c>
      <c r="J517">
        <f>HYPERLINK("http://www.linkedin.com/company/colliers")</f>
        <v/>
      </c>
      <c r="K517">
        <f>HYPERLINK("https://twitter.com/collierscanada")</f>
        <v/>
      </c>
      <c r="L517">
        <f>HYPERLINK("Not Found")</f>
        <v/>
      </c>
      <c r="M517" t="inlineStr">
        <is>
          <t>London, United Kingdom</t>
        </is>
      </c>
      <c r="N517" t="inlineStr">
        <is>
          <t>25,000</t>
        </is>
      </c>
      <c r="O517" t="inlineStr">
        <is>
          <t>Commercial Real Estate</t>
        </is>
      </c>
      <c r="P517" t="inlineStr">
        <is>
          <t>brokerage &amp; agency,corporate solutions</t>
        </is>
      </c>
      <c r="Q517" t="inlineStr">
        <is>
          <t>Not Found</t>
        </is>
      </c>
    </row>
    <row r="518">
      <c r="A518" t="inlineStr">
        <is>
          <t>60bdd989d4f76d000118c41e</t>
        </is>
      </c>
      <c r="B518" t="inlineStr">
        <is>
          <t>James Burke</t>
        </is>
      </c>
      <c r="C518">
        <f>HYPERLINK("http://www.linkedin.com/in/james-burke-b048882a")</f>
        <v/>
      </c>
      <c r="D518" t="inlineStr">
        <is>
          <t>Not Found</t>
        </is>
      </c>
      <c r="E518" t="inlineStr">
        <is>
          <t>Director</t>
        </is>
      </c>
      <c r="F518">
        <f>HYPERLINK("https://app.apollo.io/#/people/60bdd989d4f76d000118c41e")</f>
        <v/>
      </c>
      <c r="G518" t="inlineStr">
        <is>
          <t>Colliers</t>
        </is>
      </c>
      <c r="H518">
        <f>HYPERLINK("https://app.apollo.io/#/accounts/64aaf6c63d556a0001e8eda6")</f>
        <v/>
      </c>
      <c r="I518">
        <f>HYPERLINK("http://www.colliers.com/")</f>
        <v/>
      </c>
      <c r="J518">
        <f>HYPERLINK("http://www.linkedin.com/company/colliers")</f>
        <v/>
      </c>
      <c r="K518">
        <f>HYPERLINK("https://twitter.com/Colliers")</f>
        <v/>
      </c>
      <c r="L518">
        <f>HYPERLINK("https://facebook.com/colliersinternational/")</f>
        <v/>
      </c>
      <c r="M518" t="inlineStr">
        <is>
          <t>London, United Kingdom</t>
        </is>
      </c>
      <c r="N518" t="inlineStr">
        <is>
          <t>25,000</t>
        </is>
      </c>
      <c r="O518" t="inlineStr">
        <is>
          <t>Commercial Real Estate</t>
        </is>
      </c>
      <c r="P518" t="inlineStr">
        <is>
          <t>brokerage &amp; agency,corporate solutions</t>
        </is>
      </c>
      <c r="Q518" t="inlineStr">
        <is>
          <t>Not Found</t>
        </is>
      </c>
    </row>
    <row r="519">
      <c r="A519" t="inlineStr">
        <is>
          <t>60fe9e713dc72e0001fbaff5</t>
        </is>
      </c>
      <c r="B519" t="inlineStr">
        <is>
          <t>John Gaskell</t>
        </is>
      </c>
      <c r="C519">
        <f>HYPERLINK("http://www.linkedin.com/in/john-gaskell-2789a030")</f>
        <v/>
      </c>
      <c r="D519" t="inlineStr">
        <is>
          <t>Not Found</t>
        </is>
      </c>
      <c r="E519" t="inlineStr">
        <is>
          <t>Director</t>
        </is>
      </c>
      <c r="F519">
        <f>HYPERLINK("https://app.apollo.io/#/people/60fe9e713dc72e0001fbaff5")</f>
        <v/>
      </c>
      <c r="G519" t="inlineStr">
        <is>
          <t>Abacus Day Nursery Sales</t>
        </is>
      </c>
      <c r="H519">
        <f>HYPERLINK("https://app.apollo.io/#/organizations/5e55f7625749890001ee2c9e")</f>
        <v/>
      </c>
      <c r="I519">
        <f>HYPERLINK("http://www.abacusdaynurserysales.com/")</f>
        <v/>
      </c>
      <c r="J519">
        <f>HYPERLINK("http://www.linkedin.com/company/abacusdaynurserysales")</f>
        <v/>
      </c>
      <c r="K519">
        <f>HYPERLINK("Not Found")</f>
        <v/>
      </c>
      <c r="L519">
        <f>HYPERLINK("Not Found")</f>
        <v/>
      </c>
      <c r="M519" t="inlineStr">
        <is>
          <t>Bury, United Kingdom</t>
        </is>
      </c>
      <c r="N519" t="inlineStr">
        <is>
          <t>4</t>
        </is>
      </c>
      <c r="O519" t="inlineStr">
        <is>
          <t>Commercial Real Estate</t>
        </is>
      </c>
      <c r="P519" t="inlineStr">
        <is>
          <t>childrens day nursery,day nursery sales specialist</t>
        </is>
      </c>
      <c r="Q519" t="inlineStr">
        <is>
          <t>Not Found</t>
        </is>
      </c>
    </row>
    <row r="520">
      <c r="A520" t="inlineStr">
        <is>
          <t>621e34e09fbdea00010de077</t>
        </is>
      </c>
      <c r="B520" t="inlineStr">
        <is>
          <t>Joel Cruz</t>
        </is>
      </c>
      <c r="C520">
        <f>HYPERLINK("http://www.linkedin.com/in/joel-dela-cruz-091a221b8")</f>
        <v/>
      </c>
      <c r="D520" t="inlineStr">
        <is>
          <t>Not Found</t>
        </is>
      </c>
      <c r="E520" t="inlineStr">
        <is>
          <t>Director</t>
        </is>
      </c>
      <c r="F520">
        <f>HYPERLINK("https://app.apollo.io/#/people/621e34e09fbdea00010de077")</f>
        <v/>
      </c>
      <c r="G520" t="inlineStr">
        <is>
          <t>KALMARs</t>
        </is>
      </c>
      <c r="H520">
        <f>HYPERLINK("https://app.apollo.io/#/organizations/556dc8e57369641276109201")</f>
        <v/>
      </c>
      <c r="I520">
        <f>HYPERLINK("http://www.kalmars.com/")</f>
        <v/>
      </c>
      <c r="J520">
        <f>HYPERLINK("http://www.linkedin.com/company/kalmars")</f>
        <v/>
      </c>
      <c r="K520">
        <f>HYPERLINK("https://twitter.com/kalmarsltd")</f>
        <v/>
      </c>
      <c r="L520">
        <f>HYPERLINK("https://www.facebook.com/profile.php")</f>
        <v/>
      </c>
      <c r="M520" t="inlineStr">
        <is>
          <t>London, United Kingdom</t>
        </is>
      </c>
      <c r="N520" t="inlineStr">
        <is>
          <t>18</t>
        </is>
      </c>
      <c r="O520" t="inlineStr">
        <is>
          <t>Commercial Real Estate</t>
        </is>
      </c>
      <c r="P520" t="inlineStr">
        <is>
          <t>estate agent,sales,marketing,development</t>
        </is>
      </c>
      <c r="Q520" t="inlineStr">
        <is>
          <t>Not Found</t>
        </is>
      </c>
    </row>
    <row r="521">
      <c r="A521" t="inlineStr">
        <is>
          <t>54a8d11e74686930ad152006</t>
        </is>
      </c>
      <c r="B521" t="inlineStr">
        <is>
          <t>James Whitmee</t>
        </is>
      </c>
      <c r="C521">
        <f>HYPERLINK("http://www.linkedin.com/in/jameswhitmee")</f>
        <v/>
      </c>
      <c r="D521" t="inlineStr">
        <is>
          <t>Not Found</t>
        </is>
      </c>
      <c r="E521" t="inlineStr">
        <is>
          <t>Director</t>
        </is>
      </c>
      <c r="F521">
        <f>HYPERLINK("https://app.apollo.io/#/people/54a8d11e74686930ad152006")</f>
        <v/>
      </c>
      <c r="G521" t="inlineStr">
        <is>
          <t>EMC Real Estate</t>
        </is>
      </c>
      <c r="H521">
        <f>HYPERLINK("https://app.apollo.io/#/organizations/556944b3736964211d3f2400")</f>
        <v/>
      </c>
      <c r="I521">
        <f>HYPERLINK("http://www.emc-re.com/")</f>
        <v/>
      </c>
      <c r="J521">
        <f>HYPERLINK("http://www.linkedin.com/company/emc-real-estate")</f>
        <v/>
      </c>
      <c r="K521">
        <f>HYPERLINK("Not Found")</f>
        <v/>
      </c>
      <c r="L521">
        <f>HYPERLINK("Not Found")</f>
        <v/>
      </c>
      <c r="M521" t="inlineStr">
        <is>
          <t>London, United Kingdom</t>
        </is>
      </c>
      <c r="N521" t="inlineStr">
        <is>
          <t>15</t>
        </is>
      </c>
      <c r="O521" t="inlineStr">
        <is>
          <t>Commercial Real Estate</t>
        </is>
      </c>
      <c r="P521" t="inlineStr">
        <is>
          <t>valuation,emerging markets,research,consultancy</t>
        </is>
      </c>
      <c r="Q521" t="inlineStr">
        <is>
          <t>Not Found</t>
        </is>
      </c>
    </row>
    <row r="522">
      <c r="A522" t="inlineStr">
        <is>
          <t>54a26af37468692e71d0c121</t>
        </is>
      </c>
      <c r="B522" t="inlineStr">
        <is>
          <t>Lloyd Entwistle</t>
        </is>
      </c>
      <c r="C522">
        <f>HYPERLINK("http://www.linkedin.com/in/lloyd-entwistle-589b4682")</f>
        <v/>
      </c>
      <c r="D522" t="inlineStr">
        <is>
          <t>Not Found</t>
        </is>
      </c>
      <c r="E522" t="inlineStr">
        <is>
          <t>Director -</t>
        </is>
      </c>
      <c r="F522">
        <f>HYPERLINK("https://app.apollo.io/#/people/54a26af37468692e71d0c121")</f>
        <v/>
      </c>
      <c r="G522" t="inlineStr">
        <is>
          <t>Colliers</t>
        </is>
      </c>
      <c r="H522">
        <f>HYPERLINK("https://app.apollo.io/#/accounts/64aaf6c63d556a0001e8eda6")</f>
        <v/>
      </c>
      <c r="I522">
        <f>HYPERLINK("http://www.colliers.com/")</f>
        <v/>
      </c>
      <c r="J522">
        <f>HYPERLINK("http://www.linkedin.com/company/colliers")</f>
        <v/>
      </c>
      <c r="K522">
        <f>HYPERLINK("https://twitter.com/Colliers")</f>
        <v/>
      </c>
      <c r="L522">
        <f>HYPERLINK("https://facebook.com/colliersinternational/")</f>
        <v/>
      </c>
      <c r="M522" t="inlineStr">
        <is>
          <t>London, United Kingdom</t>
        </is>
      </c>
      <c r="N522" t="inlineStr">
        <is>
          <t>25,000</t>
        </is>
      </c>
      <c r="O522" t="inlineStr">
        <is>
          <t>Commercial Real Estate</t>
        </is>
      </c>
      <c r="P522" t="inlineStr">
        <is>
          <t>brokerage &amp; agency,corporate solutions</t>
        </is>
      </c>
      <c r="Q522" t="inlineStr">
        <is>
          <t>Not Found</t>
        </is>
      </c>
    </row>
    <row r="523">
      <c r="A523" t="inlineStr">
        <is>
          <t>54a7423e7468696b7fd7be23</t>
        </is>
      </c>
      <c r="B523" t="inlineStr">
        <is>
          <t>Stephen Perrett</t>
        </is>
      </c>
      <c r="C523">
        <f>HYPERLINK("http://www.linkedin.com/in/steve-perrett-8837a821")</f>
        <v/>
      </c>
      <c r="D523" t="inlineStr">
        <is>
          <t>Not Found</t>
        </is>
      </c>
      <c r="E523" t="inlineStr">
        <is>
          <t>Director</t>
        </is>
      </c>
      <c r="F523">
        <f>HYPERLINK("https://app.apollo.io/#/people/54a7423e7468696b7fd7be23")</f>
        <v/>
      </c>
      <c r="G523" t="inlineStr">
        <is>
          <t>Cheetham &amp; Mortimer</t>
        </is>
      </c>
      <c r="H523">
        <f>HYPERLINK("https://app.apollo.io/#/organizations/56d5a92af3e5bb315d0028d2")</f>
        <v/>
      </c>
      <c r="I523">
        <f>HYPERLINK("http://www.cheetham-mortimer.com/")</f>
        <v/>
      </c>
      <c r="J523">
        <f>HYPERLINK("http://www.linkedin.com/company/cheetham-&amp;-mortimer")</f>
        <v/>
      </c>
      <c r="K523">
        <f>HYPERLINK("https://twitter.com/MrRetailExpert")</f>
        <v/>
      </c>
      <c r="L523">
        <f>HYPERLINK("Not Found")</f>
        <v/>
      </c>
      <c r="M523" t="inlineStr">
        <is>
          <t>Manchester, United Kingdom</t>
        </is>
      </c>
      <c r="N523" t="inlineStr">
        <is>
          <t>5</t>
        </is>
      </c>
      <c r="O523" t="inlineStr">
        <is>
          <t>Commercial Real Estate</t>
        </is>
      </c>
      <c r="P523" t="inlineStr">
        <is>
          <t>lease advisory,foodstore agency,development advice</t>
        </is>
      </c>
      <c r="Q523" t="inlineStr">
        <is>
          <t>Not Found</t>
        </is>
      </c>
    </row>
    <row r="524">
      <c r="A524" t="inlineStr">
        <is>
          <t>5e65c5bc9d27a60001dce798</t>
        </is>
      </c>
      <c r="B524" t="inlineStr">
        <is>
          <t>Chris Stott</t>
        </is>
      </c>
      <c r="C524">
        <f>HYPERLINK("http://www.linkedin.com/in/chris-stott-43162819")</f>
        <v/>
      </c>
      <c r="D524" t="inlineStr">
        <is>
          <t>Not Found</t>
        </is>
      </c>
      <c r="E524" t="inlineStr">
        <is>
          <t>Director</t>
        </is>
      </c>
      <c r="F524">
        <f>HYPERLINK("https://app.apollo.io/#/people/5e65c5bc9d27a60001dce798")</f>
        <v/>
      </c>
      <c r="G524" t="inlineStr">
        <is>
          <t>SMC Brownill Vickers</t>
        </is>
      </c>
      <c r="H524">
        <f>HYPERLINK("https://app.apollo.io/#/organizations/54a1219569702d7fe6a5ef02")</f>
        <v/>
      </c>
      <c r="I524">
        <f>HYPERLINK("http://www.smcbrownillvickers.com/")</f>
        <v/>
      </c>
      <c r="J524">
        <f>HYPERLINK("http://www.linkedin.com/company/smc-brownill-vickers")</f>
        <v/>
      </c>
      <c r="K524">
        <f>HYPERLINK("Not Found")</f>
        <v/>
      </c>
      <c r="L524">
        <f>HYPERLINK("Not Found")</f>
        <v/>
      </c>
      <c r="M524" t="inlineStr">
        <is>
          <t>Sheffield, United Kingdom</t>
        </is>
      </c>
      <c r="N524" t="inlineStr">
        <is>
          <t>13</t>
        </is>
      </c>
      <c r="O524" t="inlineStr">
        <is>
          <t>Commercial Real Estate</t>
        </is>
      </c>
      <c r="Q524" t="inlineStr">
        <is>
          <t>Not Found</t>
        </is>
      </c>
    </row>
    <row r="525">
      <c r="A525" t="inlineStr">
        <is>
          <t>603e2003fc383f0001e5b809</t>
        </is>
      </c>
      <c r="B525" t="inlineStr">
        <is>
          <t>Ian Cotterill</t>
        </is>
      </c>
      <c r="C525">
        <f>HYPERLINK("http://www.linkedin.com/in/ian-cotterill-345a0623")</f>
        <v/>
      </c>
      <c r="D525" t="inlineStr">
        <is>
          <t>Not Found</t>
        </is>
      </c>
      <c r="E525" t="inlineStr">
        <is>
          <t>Director</t>
        </is>
      </c>
      <c r="F525">
        <f>HYPERLINK("https://app.apollo.io/#/people/603e2003fc383f0001e5b809")</f>
        <v/>
      </c>
      <c r="G525" t="inlineStr">
        <is>
          <t>Louis Taylor Ltd</t>
        </is>
      </c>
      <c r="H525">
        <f>HYPERLINK("https://app.apollo.io/#/organizations/5a9f6ab0a6da98d97701eb2d")</f>
        <v/>
      </c>
      <c r="I525">
        <f>HYPERLINK("http://www.louis-taylor.co.uk/")</f>
        <v/>
      </c>
      <c r="J525">
        <f>HYPERLINK("http://www.linkedin.com/company/louis-taylor-ltd")</f>
        <v/>
      </c>
      <c r="K525">
        <f>HYPERLINK("https://twitter.com/LouisTaylorLtd")</f>
        <v/>
      </c>
      <c r="L525">
        <f>HYPERLINK("Not Found")</f>
        <v/>
      </c>
      <c r="M525" t="inlineStr">
        <is>
          <t>Stafford, United Kingdom</t>
        </is>
      </c>
      <c r="N525" t="inlineStr">
        <is>
          <t>14</t>
        </is>
      </c>
      <c r="O525" t="inlineStr">
        <is>
          <t>Commercial Real Estate</t>
        </is>
      </c>
      <c r="P525" t="inlineStr">
        <is>
          <t>valuations,auctions,property management</t>
        </is>
      </c>
      <c r="Q525" t="inlineStr">
        <is>
          <t>Not Found</t>
        </is>
      </c>
    </row>
    <row r="526">
      <c r="A526" t="inlineStr">
        <is>
          <t>60ddd2971ee63f00013358d2</t>
        </is>
      </c>
      <c r="B526" t="inlineStr">
        <is>
          <t>Bob Ashton</t>
        </is>
      </c>
      <c r="C526">
        <f>HYPERLINK("http://www.linkedin.com/in/bob-ashton-b6215a17")</f>
        <v/>
      </c>
      <c r="D526" t="inlineStr">
        <is>
          <t>Not Found</t>
        </is>
      </c>
      <c r="E526" t="inlineStr">
        <is>
          <t>Director</t>
        </is>
      </c>
      <c r="F526">
        <f>HYPERLINK("https://app.apollo.io/#/people/60ddd2971ee63f00013358d2")</f>
        <v/>
      </c>
      <c r="G526" t="inlineStr">
        <is>
          <t>Cherryman</t>
        </is>
      </c>
      <c r="H526">
        <f>HYPERLINK("https://app.apollo.io/#/organizations/54a13bf469702d2bfdbdac01")</f>
        <v/>
      </c>
      <c r="I526">
        <f>HYPERLINK("http://www.cherryman.co.uk/")</f>
        <v/>
      </c>
      <c r="J526">
        <f>HYPERLINK("http://www.linkedin.com/company/cherryman")</f>
        <v/>
      </c>
      <c r="K526">
        <f>HYPERLINK("https://twitter.com/cherrymanltd")</f>
        <v/>
      </c>
      <c r="L526">
        <f>HYPERLINK("Not Found")</f>
        <v/>
      </c>
      <c r="M526" t="inlineStr">
        <is>
          <t>London, United Kingdom</t>
        </is>
      </c>
      <c r="N526" t="inlineStr">
        <is>
          <t>3</t>
        </is>
      </c>
      <c r="O526" t="inlineStr">
        <is>
          <t>Commercial Real Estate</t>
        </is>
      </c>
      <c r="P526" t="inlineStr">
        <is>
          <t>commercial real estate,real estate,property investment</t>
        </is>
      </c>
      <c r="Q526" t="inlineStr">
        <is>
          <t>Not Found</t>
        </is>
      </c>
    </row>
    <row r="527">
      <c r="A527" t="inlineStr">
        <is>
          <t>5abe80ffa6da98cfa6983b46</t>
        </is>
      </c>
      <c r="B527" t="inlineStr">
        <is>
          <t>Robert Simpson</t>
        </is>
      </c>
      <c r="C527">
        <f>HYPERLINK("http://www.linkedin.com/in/robert-simpson-27a68a4")</f>
        <v/>
      </c>
      <c r="D527" t="inlineStr">
        <is>
          <t>Not Found</t>
        </is>
      </c>
      <c r="E527" t="inlineStr">
        <is>
          <t>Director</t>
        </is>
      </c>
      <c r="F527">
        <f>HYPERLINK("https://app.apollo.io/#/people/5abe80ffa6da98cfa6983b46")</f>
        <v/>
      </c>
      <c r="G527" t="inlineStr">
        <is>
          <t>Colliers</t>
        </is>
      </c>
      <c r="H527">
        <f>HYPERLINK("https://app.apollo.io/#/accounts/64aaf6c63d556a0001e8eda6")</f>
        <v/>
      </c>
      <c r="I527">
        <f>HYPERLINK("http://www.colliers.com/")</f>
        <v/>
      </c>
      <c r="J527">
        <f>HYPERLINK("http://www.linkedin.com/company/colliers")</f>
        <v/>
      </c>
      <c r="K527">
        <f>HYPERLINK("https://twitter.com/Colliers")</f>
        <v/>
      </c>
      <c r="L527">
        <f>HYPERLINK("https://facebook.com/colliersinternational/")</f>
        <v/>
      </c>
      <c r="M527" t="inlineStr">
        <is>
          <t>Leeds, United Kingdom</t>
        </is>
      </c>
      <c r="N527" t="inlineStr">
        <is>
          <t>25,000</t>
        </is>
      </c>
      <c r="O527" t="inlineStr">
        <is>
          <t>Commercial Real Estate</t>
        </is>
      </c>
      <c r="P527" t="inlineStr">
        <is>
          <t>brokerage &amp; agency,corporate solutions</t>
        </is>
      </c>
      <c r="Q527" t="inlineStr">
        <is>
          <t>Not Found</t>
        </is>
      </c>
    </row>
    <row r="528">
      <c r="A528" t="inlineStr">
        <is>
          <t>5aad9523a6da98c3f8d30ae3</t>
        </is>
      </c>
      <c r="B528" t="inlineStr">
        <is>
          <t>Adam Burke</t>
        </is>
      </c>
      <c r="C528">
        <f>HYPERLINK("http://www.linkedin.com/in/adam-burke-14104553")</f>
        <v/>
      </c>
      <c r="D528" t="inlineStr">
        <is>
          <t>Not Found</t>
        </is>
      </c>
      <c r="E528" t="inlineStr">
        <is>
          <t>Director</t>
        </is>
      </c>
      <c r="F528">
        <f>HYPERLINK("https://app.apollo.io/#/people/5aad9523a6da98c3f8d30ae3")</f>
        <v/>
      </c>
      <c r="G528" t="inlineStr">
        <is>
          <t>Colliers</t>
        </is>
      </c>
      <c r="H528">
        <f>HYPERLINK("https://app.apollo.io/#/accounts/6578c2e248f92e02cc97a7cd")</f>
        <v/>
      </c>
      <c r="I528">
        <f>HYPERLINK("http://www.colliers.com/")</f>
        <v/>
      </c>
      <c r="J528">
        <f>HYPERLINK("http://www.linkedin.com/company/colliers")</f>
        <v/>
      </c>
      <c r="K528">
        <f>HYPERLINK("https://twitter.com/collierscanada")</f>
        <v/>
      </c>
      <c r="L528">
        <f>HYPERLINK("Not Found")</f>
        <v/>
      </c>
      <c r="M528" t="inlineStr">
        <is>
          <t>Manchester, United Kingdom</t>
        </is>
      </c>
      <c r="N528" t="inlineStr">
        <is>
          <t>25,000</t>
        </is>
      </c>
      <c r="O528" t="inlineStr">
        <is>
          <t>Commercial Real Estate</t>
        </is>
      </c>
      <c r="P528" t="inlineStr">
        <is>
          <t>brokerage &amp; agency,corporate solutions</t>
        </is>
      </c>
      <c r="Q528" t="inlineStr">
        <is>
          <t>Not Found</t>
        </is>
      </c>
    </row>
    <row r="529">
      <c r="A529" t="inlineStr">
        <is>
          <t>64ee0dce6cd49e00016bb706</t>
        </is>
      </c>
      <c r="B529" t="inlineStr">
        <is>
          <t>Emma Wills</t>
        </is>
      </c>
      <c r="C529">
        <f>HYPERLINK("http://www.linkedin.com/in/emma-wills-2759355a")</f>
        <v/>
      </c>
      <c r="D529" t="inlineStr">
        <is>
          <t>Not Found</t>
        </is>
      </c>
      <c r="E529" t="inlineStr">
        <is>
          <t>Director</t>
        </is>
      </c>
      <c r="F529">
        <f>HYPERLINK("https://app.apollo.io/#/people/64ee0dce6cd49e00016bb706")</f>
        <v/>
      </c>
      <c r="G529" t="inlineStr">
        <is>
          <t>Colliers</t>
        </is>
      </c>
      <c r="H529">
        <f>HYPERLINK("https://app.apollo.io/#/accounts/64aaf6c63d556a0001e8eda6")</f>
        <v/>
      </c>
      <c r="I529">
        <f>HYPERLINK("http://www.colliers.com/")</f>
        <v/>
      </c>
      <c r="J529">
        <f>HYPERLINK("http://www.linkedin.com/company/colliers")</f>
        <v/>
      </c>
      <c r="K529">
        <f>HYPERLINK("https://twitter.com/Colliers")</f>
        <v/>
      </c>
      <c r="L529">
        <f>HYPERLINK("https://facebook.com/colliersinternational/")</f>
        <v/>
      </c>
      <c r="M529" t="inlineStr">
        <is>
          <t>London, United Kingdom</t>
        </is>
      </c>
      <c r="N529" t="inlineStr">
        <is>
          <t>25,000</t>
        </is>
      </c>
      <c r="O529" t="inlineStr">
        <is>
          <t>Commercial Real Estate</t>
        </is>
      </c>
      <c r="P529" t="inlineStr">
        <is>
          <t>brokerage &amp; agency,corporate solutions</t>
        </is>
      </c>
      <c r="Q529" t="inlineStr">
        <is>
          <t>Not Found</t>
        </is>
      </c>
    </row>
    <row r="530">
      <c r="A530" t="inlineStr">
        <is>
          <t>54a81c437468696de74e0e61</t>
        </is>
      </c>
      <c r="B530" t="inlineStr">
        <is>
          <t>Lee Buchanan</t>
        </is>
      </c>
      <c r="C530">
        <f>HYPERLINK("http://www.linkedin.com/in/lee-buchanan-a020241b")</f>
        <v/>
      </c>
      <c r="D530" t="inlineStr">
        <is>
          <t>Not Found</t>
        </is>
      </c>
      <c r="E530" t="inlineStr">
        <is>
          <t>Director</t>
        </is>
      </c>
      <c r="F530">
        <f>HYPERLINK("https://app.apollo.io/#/people/54a81c437468696de74e0e61")</f>
        <v/>
      </c>
      <c r="G530" t="inlineStr">
        <is>
          <t>Priority Space</t>
        </is>
      </c>
      <c r="H530">
        <f>HYPERLINK("https://app.apollo.io/#/organizations/5f462f842217df000146bd7b")</f>
        <v/>
      </c>
      <c r="I530">
        <f>HYPERLINK("http://www.priorityspace.co.uk/")</f>
        <v/>
      </c>
      <c r="J530">
        <f>HYPERLINK("http://www.linkedin.com/company/priority-space")</f>
        <v/>
      </c>
      <c r="K530">
        <f>HYPERLINK("https://twitter.com/priorityspace")</f>
        <v/>
      </c>
      <c r="L530">
        <f>HYPERLINK("https://www.facebook.com/Priorityspace/")</f>
        <v/>
      </c>
      <c r="M530" t="inlineStr">
        <is>
          <t>Sheffield, United Kingdom</t>
        </is>
      </c>
      <c r="N530" t="inlineStr">
        <is>
          <t>1</t>
        </is>
      </c>
      <c r="O530" t="inlineStr">
        <is>
          <t>Commercial Real Estate</t>
        </is>
      </c>
      <c r="Q530" t="inlineStr">
        <is>
          <t>Not Found</t>
        </is>
      </c>
    </row>
    <row r="531">
      <c r="A531" t="inlineStr">
        <is>
          <t>54a271857468693318bc0023</t>
        </is>
      </c>
      <c r="B531" t="inlineStr">
        <is>
          <t>Frankie Longhurst</t>
        </is>
      </c>
      <c r="C531">
        <f>HYPERLINK("http://www.linkedin.com/in/frankie-longhurst-523b882a")</f>
        <v/>
      </c>
      <c r="D531" t="inlineStr">
        <is>
          <t>Not Found</t>
        </is>
      </c>
      <c r="E531" t="inlineStr">
        <is>
          <t>Director</t>
        </is>
      </c>
      <c r="F531">
        <f>HYPERLINK("https://app.apollo.io/#/people/54a271857468693318bc0023")</f>
        <v/>
      </c>
      <c r="G531" t="inlineStr">
        <is>
          <t>Colliers</t>
        </is>
      </c>
      <c r="H531">
        <f>HYPERLINK("https://app.apollo.io/#/accounts/64aaf6c63d556a0001e8eda6")</f>
        <v/>
      </c>
      <c r="I531">
        <f>HYPERLINK("http://www.colliers.com/")</f>
        <v/>
      </c>
      <c r="J531">
        <f>HYPERLINK("http://www.linkedin.com/company/colliers")</f>
        <v/>
      </c>
      <c r="K531">
        <f>HYPERLINK("https://twitter.com/Colliers")</f>
        <v/>
      </c>
      <c r="L531">
        <f>HYPERLINK("https://facebook.com/colliersinternational/")</f>
        <v/>
      </c>
      <c r="M531" t="inlineStr">
        <is>
          <t>London, United Kingdom</t>
        </is>
      </c>
      <c r="N531" t="inlineStr">
        <is>
          <t>25,000</t>
        </is>
      </c>
      <c r="O531" t="inlineStr">
        <is>
          <t>Commercial Real Estate</t>
        </is>
      </c>
      <c r="P531" t="inlineStr">
        <is>
          <t>brokerage &amp; agency,corporate solutions</t>
        </is>
      </c>
      <c r="Q531" t="inlineStr">
        <is>
          <t>Not Found</t>
        </is>
      </c>
    </row>
    <row r="532">
      <c r="A532" t="inlineStr">
        <is>
          <t>54c1b8c7746869163995a23b</t>
        </is>
      </c>
      <c r="B532" t="inlineStr">
        <is>
          <t>Colin Nesbitt</t>
        </is>
      </c>
      <c r="C532">
        <f>HYPERLINK("http://www.linkedin.com/in/colin-nesbitt-a3466427")</f>
        <v/>
      </c>
      <c r="D532" t="inlineStr">
        <is>
          <t>Not Found</t>
        </is>
      </c>
      <c r="E532" t="inlineStr">
        <is>
          <t>Director</t>
        </is>
      </c>
      <c r="F532">
        <f>HYPERLINK("https://app.apollo.io/#/people/54c1b8c7746869163995a23b")</f>
        <v/>
      </c>
      <c r="G532" t="inlineStr">
        <is>
          <t>Colliers</t>
        </is>
      </c>
      <c r="H532">
        <f>HYPERLINK("https://app.apollo.io/#/accounts/64aaf6c63d556a0001e8eda6")</f>
        <v/>
      </c>
      <c r="I532">
        <f>HYPERLINK("http://www.colliers.com/")</f>
        <v/>
      </c>
      <c r="J532">
        <f>HYPERLINK("http://www.linkedin.com/company/colliers")</f>
        <v/>
      </c>
      <c r="K532">
        <f>HYPERLINK("https://twitter.com/Colliers")</f>
        <v/>
      </c>
      <c r="L532">
        <f>HYPERLINK("https://facebook.com/colliersinternational/")</f>
        <v/>
      </c>
      <c r="M532" t="inlineStr">
        <is>
          <t>Belfast, United Kingdom</t>
        </is>
      </c>
      <c r="N532" t="inlineStr">
        <is>
          <t>25,000</t>
        </is>
      </c>
      <c r="O532" t="inlineStr">
        <is>
          <t>Commercial Real Estate</t>
        </is>
      </c>
      <c r="P532" t="inlineStr">
        <is>
          <t>brokerage &amp; agency,corporate solutions</t>
        </is>
      </c>
      <c r="Q532" t="inlineStr">
        <is>
          <t>Not Found</t>
        </is>
      </c>
    </row>
    <row r="533">
      <c r="A533" t="inlineStr">
        <is>
          <t>639f5908cb71ae0001f22ace</t>
        </is>
      </c>
      <c r="B533" t="inlineStr">
        <is>
          <t>Mark Currie</t>
        </is>
      </c>
      <c r="C533">
        <f>HYPERLINK("http://www.linkedin.com/in/mark-currie-76737a9")</f>
        <v/>
      </c>
      <c r="D533" t="inlineStr">
        <is>
          <t>Not Found</t>
        </is>
      </c>
      <c r="E533" t="inlineStr">
        <is>
          <t>Director</t>
        </is>
      </c>
      <c r="F533">
        <f>HYPERLINK("https://app.apollo.io/#/people/639f5908cb71ae0001f22ace")</f>
        <v/>
      </c>
      <c r="G533" t="inlineStr">
        <is>
          <t>Colliers</t>
        </is>
      </c>
      <c r="H533">
        <f>HYPERLINK("https://app.apollo.io/#/accounts/64aaf6c63d556a0001e8eda6")</f>
        <v/>
      </c>
      <c r="I533">
        <f>HYPERLINK("http://www.colliers.com/")</f>
        <v/>
      </c>
      <c r="J533">
        <f>HYPERLINK("http://www.linkedin.com/company/colliers")</f>
        <v/>
      </c>
      <c r="K533">
        <f>HYPERLINK("https://twitter.com/Colliers")</f>
        <v/>
      </c>
      <c r="L533">
        <f>HYPERLINK("https://facebook.com/colliersinternational/")</f>
        <v/>
      </c>
      <c r="M533" t="inlineStr">
        <is>
          <t>Glasgow, United Kingdom</t>
        </is>
      </c>
      <c r="N533" t="inlineStr">
        <is>
          <t>25,000</t>
        </is>
      </c>
      <c r="O533" t="inlineStr">
        <is>
          <t>Commercial Real Estate</t>
        </is>
      </c>
      <c r="P533" t="inlineStr">
        <is>
          <t>brokerage &amp; agency,corporate solutions</t>
        </is>
      </c>
      <c r="Q533" t="inlineStr">
        <is>
          <t>Not Found</t>
        </is>
      </c>
    </row>
    <row r="534">
      <c r="A534" t="inlineStr">
        <is>
          <t>5b36da01a6da980be33e5509</t>
        </is>
      </c>
      <c r="B534" t="inlineStr">
        <is>
          <t>Peter Clarke</t>
        </is>
      </c>
      <c r="C534">
        <f>HYPERLINK("http://www.linkedin.com/in/recept")</f>
        <v/>
      </c>
      <c r="D534" t="inlineStr">
        <is>
          <t>Not Found</t>
        </is>
      </c>
      <c r="E534" t="inlineStr">
        <is>
          <t>Director</t>
        </is>
      </c>
      <c r="F534">
        <f>HYPERLINK("https://app.apollo.io/#/people/5b36da01a6da980be33e5509")</f>
        <v/>
      </c>
      <c r="G534" t="inlineStr">
        <is>
          <t>Recept Asset Management</t>
        </is>
      </c>
      <c r="H534">
        <f>HYPERLINK("https://app.apollo.io/#/organizations/641d489b4030f50001b58081")</f>
        <v/>
      </c>
      <c r="I534">
        <f>HYPERLINK("http://www.receptconsult.com/")</f>
        <v/>
      </c>
      <c r="J534">
        <f>HYPERLINK("http://www.linkedin.com/company/recept-asset-management")</f>
        <v/>
      </c>
      <c r="K534">
        <f>HYPERLINK("https://twitter.com/ReceptConsult")</f>
        <v/>
      </c>
      <c r="L534">
        <f>HYPERLINK("Not Found")</f>
        <v/>
      </c>
      <c r="M534" t="inlineStr">
        <is>
          <t>Stoke Poges, United Kingdom</t>
        </is>
      </c>
      <c r="N534" t="inlineStr">
        <is>
          <t>1</t>
        </is>
      </c>
      <c r="O534" t="inlineStr">
        <is>
          <t>Commercial Real Estate</t>
        </is>
      </c>
      <c r="P534" t="inlineStr">
        <is>
          <t>asset management &amp; real estate investment</t>
        </is>
      </c>
      <c r="Q534" t="inlineStr">
        <is>
          <t>Not Found</t>
        </is>
      </c>
    </row>
    <row r="535">
      <c r="A535" t="inlineStr">
        <is>
          <t>5ffdf8d49fcf4b0001f88e38</t>
        </is>
      </c>
      <c r="B535" t="inlineStr">
        <is>
          <t>Charlotte Roberts</t>
        </is>
      </c>
      <c r="C535">
        <f>HYPERLINK("http://www.linkedin.com/in/charlotte-roberts-6664b8aa")</f>
        <v/>
      </c>
      <c r="D535" t="inlineStr">
        <is>
          <t>Not Found</t>
        </is>
      </c>
      <c r="E535" t="inlineStr">
        <is>
          <t>Director</t>
        </is>
      </c>
      <c r="F535">
        <f>HYPERLINK("https://app.apollo.io/#/people/5ffdf8d49fcf4b0001f88e38")</f>
        <v/>
      </c>
      <c r="G535" t="inlineStr">
        <is>
          <t>Bruce Gillingham Pollard</t>
        </is>
      </c>
      <c r="H535">
        <f>HYPERLINK("https://app.apollo.io/#/organizations/5e5775dc3f9e640001579e2f")</f>
        <v/>
      </c>
      <c r="I535">
        <f>HYPERLINK("http://www.brucegillinghampollard.com/")</f>
        <v/>
      </c>
      <c r="J535">
        <f>HYPERLINK("http://www.linkedin.com/company/bruce-gillingham-pollard")</f>
        <v/>
      </c>
      <c r="K535">
        <f>HYPERLINK("https://twitter.com/BGPtweet")</f>
        <v/>
      </c>
      <c r="L535">
        <f>HYPERLINK("https://facebook.com/pages/Bruce-Gillingham-Pollard/212124998814834")</f>
        <v/>
      </c>
      <c r="M535" t="inlineStr">
        <is>
          <t>London, United Kingdom</t>
        </is>
      </c>
      <c r="N535" t="inlineStr">
        <is>
          <t>30</t>
        </is>
      </c>
      <c r="O535" t="inlineStr">
        <is>
          <t>Commercial Real Estate</t>
        </is>
      </c>
      <c r="P535" t="inlineStr">
        <is>
          <t>retail,property,brokerage,development</t>
        </is>
      </c>
      <c r="Q535" t="inlineStr">
        <is>
          <t>Not Found</t>
        </is>
      </c>
    </row>
    <row r="536">
      <c r="A536" t="inlineStr">
        <is>
          <t>5bcd60ba80f93e4744ea29e5</t>
        </is>
      </c>
      <c r="B536" t="inlineStr">
        <is>
          <t>R H</t>
        </is>
      </c>
      <c r="C536">
        <f>HYPERLINK("http://www.linkedin.com/in/r-h-866a7a50")</f>
        <v/>
      </c>
      <c r="D536" t="inlineStr">
        <is>
          <t>Not Found</t>
        </is>
      </c>
      <c r="E536" t="inlineStr">
        <is>
          <t>Director</t>
        </is>
      </c>
      <c r="F536">
        <f>HYPERLINK("https://app.apollo.io/#/people/5bcd60ba80f93e4744ea29e5")</f>
        <v/>
      </c>
      <c r="G536" t="inlineStr">
        <is>
          <t>FCP</t>
        </is>
      </c>
      <c r="H536">
        <f>HYPERLINK("https://app.apollo.io/#/organizations/60f469a478d832000122ed4d")</f>
        <v/>
      </c>
      <c r="I536">
        <f>HYPERLINK("http://www.fcpdc.com/")</f>
        <v/>
      </c>
      <c r="J536">
        <f>HYPERLINK("http://www.linkedin.com/company/f-c-p")</f>
        <v/>
      </c>
      <c r="K536">
        <f>HYPERLINK("Not Found")</f>
        <v/>
      </c>
      <c r="L536">
        <f>HYPERLINK("https://www.facebook.com/FCPToday/")</f>
        <v/>
      </c>
      <c r="M536" t="inlineStr">
        <is>
          <t>Norwich, United Kingdom</t>
        </is>
      </c>
      <c r="N536" t="inlineStr">
        <is>
          <t>250</t>
        </is>
      </c>
      <c r="O536" t="inlineStr">
        <is>
          <t>Commercial Real Estate</t>
        </is>
      </c>
      <c r="P536" t="inlineStr">
        <is>
          <t>commercial real estate,private equity,investments</t>
        </is>
      </c>
      <c r="Q536" t="inlineStr">
        <is>
          <t>Not Found</t>
        </is>
      </c>
    </row>
    <row r="537">
      <c r="A537" t="inlineStr">
        <is>
          <t>54a535007468693b8c9db885</t>
        </is>
      </c>
      <c r="B537" t="inlineStr">
        <is>
          <t>Chris Saberton</t>
        </is>
      </c>
      <c r="C537">
        <f>HYPERLINK("http://www.linkedin.com/in/chris-saberton-a265a632")</f>
        <v/>
      </c>
      <c r="D537" t="inlineStr">
        <is>
          <t>Not Found</t>
        </is>
      </c>
      <c r="E537" t="inlineStr">
        <is>
          <t>Director</t>
        </is>
      </c>
      <c r="F537">
        <f>HYPERLINK("https://app.apollo.io/#/people/54a535007468693b8c9db885")</f>
        <v/>
      </c>
      <c r="G537" t="inlineStr">
        <is>
          <t>Colliers</t>
        </is>
      </c>
      <c r="H537">
        <f>HYPERLINK("https://app.apollo.io/#/accounts/64aaf6c63d556a0001e8eda6")</f>
        <v/>
      </c>
      <c r="I537">
        <f>HYPERLINK("http://www.colliers.com/")</f>
        <v/>
      </c>
      <c r="J537">
        <f>HYPERLINK("http://www.linkedin.com/company/colliers")</f>
        <v/>
      </c>
      <c r="K537">
        <f>HYPERLINK("https://twitter.com/Colliers")</f>
        <v/>
      </c>
      <c r="L537">
        <f>HYPERLINK("https://facebook.com/colliersinternational/")</f>
        <v/>
      </c>
      <c r="M537" t="inlineStr">
        <is>
          <t>Wakefield, United Kingdom</t>
        </is>
      </c>
      <c r="N537" t="inlineStr">
        <is>
          <t>25,000</t>
        </is>
      </c>
      <c r="O537" t="inlineStr">
        <is>
          <t>Commercial Real Estate</t>
        </is>
      </c>
      <c r="P537" t="inlineStr">
        <is>
          <t>brokerage &amp; agency,corporate solutions</t>
        </is>
      </c>
      <c r="Q537" t="inlineStr">
        <is>
          <t>Not Found</t>
        </is>
      </c>
    </row>
    <row r="538">
      <c r="A538" t="inlineStr">
        <is>
          <t>5ae7ae22a6da9841b08a37f1</t>
        </is>
      </c>
      <c r="B538" t="inlineStr">
        <is>
          <t>Mark Sheehan</t>
        </is>
      </c>
      <c r="C538">
        <f>HYPERLINK("http://www.linkedin.com/in/mark-sheehan-b3537841")</f>
        <v/>
      </c>
      <c r="D538" t="inlineStr">
        <is>
          <t>Not Found</t>
        </is>
      </c>
      <c r="E538" t="inlineStr">
        <is>
          <t>Director</t>
        </is>
      </c>
      <c r="F538">
        <f>HYPERLINK("https://app.apollo.io/#/people/5ae7ae22a6da9841b08a37f1")</f>
        <v/>
      </c>
      <c r="G538" t="inlineStr">
        <is>
          <t>Colliers</t>
        </is>
      </c>
      <c r="H538">
        <f>HYPERLINK("https://app.apollo.io/#/accounts/64aaf6c63d556a0001e8eda6")</f>
        <v/>
      </c>
      <c r="I538">
        <f>HYPERLINK("http://www.colliers.com/")</f>
        <v/>
      </c>
      <c r="J538">
        <f>HYPERLINK("http://www.linkedin.com/company/colliers")</f>
        <v/>
      </c>
      <c r="K538">
        <f>HYPERLINK("https://twitter.com/Colliers")</f>
        <v/>
      </c>
      <c r="L538">
        <f>HYPERLINK("https://facebook.com/colliersinternational/")</f>
        <v/>
      </c>
      <c r="M538" t="inlineStr">
        <is>
          <t>Shepperton, United Kingdom</t>
        </is>
      </c>
      <c r="N538" t="inlineStr">
        <is>
          <t>25,000</t>
        </is>
      </c>
      <c r="O538" t="inlineStr">
        <is>
          <t>Commercial Real Estate</t>
        </is>
      </c>
      <c r="P538" t="inlineStr">
        <is>
          <t>brokerage &amp; agency,corporate solutions</t>
        </is>
      </c>
      <c r="Q538" t="inlineStr">
        <is>
          <t>Not Found</t>
        </is>
      </c>
    </row>
    <row r="539">
      <c r="A539" t="inlineStr">
        <is>
          <t>57da3424a6da985435db9b14</t>
        </is>
      </c>
      <c r="B539" t="inlineStr">
        <is>
          <t>Robert Parr-Head</t>
        </is>
      </c>
      <c r="C539">
        <f>HYPERLINK("http://www.linkedin.com/in/robert-parr-head-aa59a9116")</f>
        <v/>
      </c>
      <c r="D539" t="inlineStr">
        <is>
          <t>Not Found</t>
        </is>
      </c>
      <c r="E539" t="inlineStr">
        <is>
          <t>Director</t>
        </is>
      </c>
      <c r="F539">
        <f>HYPERLINK("https://app.apollo.io/#/people/57da3424a6da985435db9b14")</f>
        <v/>
      </c>
      <c r="G539" t="inlineStr">
        <is>
          <t>Cushman &amp; Wakefield - Formerly DTZ</t>
        </is>
      </c>
      <c r="H539">
        <f>HYPERLINK("https://app.apollo.io/#/accounts/6578bef1ccf69c01ae54f888")</f>
        <v/>
      </c>
      <c r="I539">
        <f>HYPERLINK("http://www.cushwake-ni.com/")</f>
        <v/>
      </c>
      <c r="J539">
        <f>HYPERLINK("http://www.linkedin.com/company/dtz")</f>
        <v/>
      </c>
      <c r="K539">
        <f>HYPERLINK("Not Found")</f>
        <v/>
      </c>
      <c r="L539">
        <f>HYPERLINK("Not Found")</f>
        <v/>
      </c>
      <c r="M539" t="inlineStr">
        <is>
          <t>Bristol, United Kingdom</t>
        </is>
      </c>
      <c r="N539" t="inlineStr">
        <is>
          <t>3,800</t>
        </is>
      </c>
      <c r="O539" t="inlineStr">
        <is>
          <t>Commercial Real Estate</t>
        </is>
      </c>
      <c r="P539" t="inlineStr">
        <is>
          <t>agency leasing,capital markets,consulting</t>
        </is>
      </c>
      <c r="Q539" t="inlineStr">
        <is>
          <t>Not Found</t>
        </is>
      </c>
    </row>
    <row r="540">
      <c r="A540" t="inlineStr">
        <is>
          <t>5e80c6a574676b00018fdc28</t>
        </is>
      </c>
      <c r="B540" t="inlineStr">
        <is>
          <t>Graham Smith</t>
        </is>
      </c>
      <c r="C540">
        <f>HYPERLINK("http://www.linkedin.com/in/graham-smith-702a63140")</f>
        <v/>
      </c>
      <c r="D540" t="inlineStr">
        <is>
          <t>Not Found</t>
        </is>
      </c>
      <c r="E540" t="inlineStr">
        <is>
          <t>director</t>
        </is>
      </c>
      <c r="F540">
        <f>HYPERLINK("https://app.apollo.io/#/people/5e80c6a574676b00018fdc28")</f>
        <v/>
      </c>
      <c r="G540" t="inlineStr">
        <is>
          <t>Stephens Maguire &amp; Company</t>
        </is>
      </c>
      <c r="H540">
        <f>HYPERLINK("https://app.apollo.io/#/organizations/56da88bef3e5bb70550050ad")</f>
        <v/>
      </c>
      <c r="I540">
        <f>HYPERLINK("http://www.stephensmaguire.co.uk/")</f>
        <v/>
      </c>
      <c r="J540">
        <f>HYPERLINK("http://www.linkedin.com/company/stephens-maguire-&amp;-company")</f>
        <v/>
      </c>
      <c r="K540">
        <f>HYPERLINK("Not Found")</f>
        <v/>
      </c>
      <c r="L540">
        <f>HYPERLINK("Not Found")</f>
        <v/>
      </c>
      <c r="M540" t="inlineStr">
        <is>
          <t>Tonbridge, United Kingdom</t>
        </is>
      </c>
      <c r="N540" t="inlineStr">
        <is>
          <t>4</t>
        </is>
      </c>
      <c r="O540" t="inlineStr">
        <is>
          <t>Commercial Real Estate</t>
        </is>
      </c>
      <c r="Q540" t="inlineStr">
        <is>
          <t>Not Found</t>
        </is>
      </c>
    </row>
    <row r="541">
      <c r="A541" t="inlineStr">
        <is>
          <t>61267eecc1b6490001451f3d</t>
        </is>
      </c>
      <c r="B541" t="inlineStr">
        <is>
          <t>Malcolm Jones</t>
        </is>
      </c>
      <c r="C541">
        <f>HYPERLINK("http://www.linkedin.com/in/malcolm-jones-kwb")</f>
        <v/>
      </c>
      <c r="D541" t="inlineStr">
        <is>
          <t>Not Found</t>
        </is>
      </c>
      <c r="E541" t="inlineStr">
        <is>
          <t>Director</t>
        </is>
      </c>
      <c r="F541">
        <f>HYPERLINK("https://app.apollo.io/#/people/61267eecc1b6490001451f3d")</f>
        <v/>
      </c>
      <c r="G541" t="inlineStr">
        <is>
          <t>KWB Commercial Property Specialists</t>
        </is>
      </c>
      <c r="H541">
        <f>HYPERLINK("https://app.apollo.io/#/organizations/54a122c069702d9d7e96d602")</f>
        <v/>
      </c>
      <c r="I541">
        <f>HYPERLINK("http://www.kwboffice.com/")</f>
        <v/>
      </c>
      <c r="J541">
        <f>HYPERLINK("http://www.linkedin.com/company/kwb-office-property-specialists")</f>
        <v/>
      </c>
      <c r="K541">
        <f>HYPERLINK("https://twitter.com/kwboffice")</f>
        <v/>
      </c>
      <c r="L541">
        <f>HYPERLINK("Not Found")</f>
        <v/>
      </c>
      <c r="M541" t="inlineStr">
        <is>
          <t>United Kingdom</t>
        </is>
      </c>
      <c r="N541" t="inlineStr">
        <is>
          <t>26</t>
        </is>
      </c>
      <c r="O541" t="inlineStr">
        <is>
          <t>Commercial Real Estate</t>
        </is>
      </c>
      <c r="P541" t="inlineStr">
        <is>
          <t>office,industrial sales,lettings,workplace search</t>
        </is>
      </c>
      <c r="Q541" t="inlineStr">
        <is>
          <t>Not Found</t>
        </is>
      </c>
    </row>
    <row r="542">
      <c r="A542" t="inlineStr">
        <is>
          <t>5b916099324d441293517322</t>
        </is>
      </c>
      <c r="B542" t="inlineStr">
        <is>
          <t>Tom Johnson</t>
        </is>
      </c>
      <c r="C542">
        <f>HYPERLINK("http://www.linkedin.com/in/tom-johnson-0ba4325a")</f>
        <v/>
      </c>
      <c r="D542" t="inlineStr">
        <is>
          <t>Not Found</t>
        </is>
      </c>
      <c r="E542" t="inlineStr">
        <is>
          <t>Director</t>
        </is>
      </c>
      <c r="F542">
        <f>HYPERLINK("https://app.apollo.io/#/people/5b916099324d441293517322")</f>
        <v/>
      </c>
      <c r="G542" t="inlineStr">
        <is>
          <t>Mounsey Chartered Surveyors</t>
        </is>
      </c>
      <c r="H542">
        <f>HYPERLINK("https://app.apollo.io/#/accounts/6578c2da48f92e01ae97bb73")</f>
        <v/>
      </c>
      <c r="I542">
        <f>HYPERLINK("http://www.mounseysurveyors.co.uk/")</f>
        <v/>
      </c>
      <c r="J542">
        <f>HYPERLINK("http://www.linkedin.com/company/mounsey-chartered-surveyors")</f>
        <v/>
      </c>
      <c r="K542">
        <f>HYPERLINK("https://mobile.twitter.com/mounseysurveyor")</f>
        <v/>
      </c>
      <c r="L542">
        <f>HYPERLINK("https://www.facebook.com/MounseyCharteredSurveyors/")</f>
        <v/>
      </c>
      <c r="M542" t="inlineStr">
        <is>
          <t>Stoke-on-Trent, United Kingdom</t>
        </is>
      </c>
      <c r="N542" t="inlineStr">
        <is>
          <t>20</t>
        </is>
      </c>
      <c r="O542" t="inlineStr">
        <is>
          <t>Commercial Real Estate</t>
        </is>
      </c>
      <c r="P542" t="inlineStr">
        <is>
          <t>sales,lettings,acquisitions,property,asset management</t>
        </is>
      </c>
      <c r="Q542" t="inlineStr">
        <is>
          <t>Not Found</t>
        </is>
      </c>
    </row>
    <row r="543">
      <c r="A543" t="inlineStr">
        <is>
          <t>57db54c0a6da986d2e561f4f</t>
        </is>
      </c>
      <c r="B543" t="inlineStr">
        <is>
          <t>Simon Long</t>
        </is>
      </c>
      <c r="C543">
        <f>HYPERLINK("http://www.linkedin.com/in/simon-long-9a003b53")</f>
        <v/>
      </c>
      <c r="D543" t="inlineStr">
        <is>
          <t>Not Found</t>
        </is>
      </c>
      <c r="E543" t="inlineStr">
        <is>
          <t>Director</t>
        </is>
      </c>
      <c r="F543">
        <f>HYPERLINK("https://app.apollo.io/#/people/57db54c0a6da986d2e561f4f")</f>
        <v/>
      </c>
      <c r="G543" t="inlineStr">
        <is>
          <t>Colliers</t>
        </is>
      </c>
      <c r="H543">
        <f>HYPERLINK("https://app.apollo.io/#/accounts/64aaf6c63d556a0001e8eda6")</f>
        <v/>
      </c>
      <c r="I543">
        <f>HYPERLINK("http://www.colliers.com/")</f>
        <v/>
      </c>
      <c r="J543">
        <f>HYPERLINK("http://www.linkedin.com/company/colliers")</f>
        <v/>
      </c>
      <c r="K543">
        <f>HYPERLINK("https://twitter.com/Colliers")</f>
        <v/>
      </c>
      <c r="L543">
        <f>HYPERLINK("https://facebook.com/colliersinternational/")</f>
        <v/>
      </c>
      <c r="M543" t="inlineStr">
        <is>
          <t>Manchester, United Kingdom</t>
        </is>
      </c>
      <c r="N543" t="inlineStr">
        <is>
          <t>25,000</t>
        </is>
      </c>
      <c r="O543" t="inlineStr">
        <is>
          <t>Commercial Real Estate</t>
        </is>
      </c>
      <c r="P543" t="inlineStr">
        <is>
          <t>brokerage &amp; agency,corporate solutions</t>
        </is>
      </c>
      <c r="Q543" t="inlineStr">
        <is>
          <t>Not Found</t>
        </is>
      </c>
    </row>
    <row r="544">
      <c r="A544" t="inlineStr">
        <is>
          <t>5c7d7d75a3ae61d4acee7355</t>
        </is>
      </c>
      <c r="B544" t="inlineStr">
        <is>
          <t>Michael Lowes</t>
        </is>
      </c>
      <c r="C544">
        <f>HYPERLINK("http://www.linkedin.com/in/michael-lowes-2a9b53142")</f>
        <v/>
      </c>
      <c r="D544" t="inlineStr">
        <is>
          <t>Not Found</t>
        </is>
      </c>
      <c r="E544" t="inlineStr">
        <is>
          <t>Director</t>
        </is>
      </c>
      <c r="F544">
        <f>HYPERLINK("https://app.apollo.io/#/people/5c7d7d75a3ae61d4acee7355")</f>
        <v/>
      </c>
      <c r="G544" t="inlineStr">
        <is>
          <t>EMC Real Estate</t>
        </is>
      </c>
      <c r="H544">
        <f>HYPERLINK("https://app.apollo.io/#/organizations/556944b3736964211d3f2400")</f>
        <v/>
      </c>
      <c r="I544">
        <f>HYPERLINK("http://www.emc-re.com/")</f>
        <v/>
      </c>
      <c r="J544">
        <f>HYPERLINK("http://www.linkedin.com/company/emc-real-estate")</f>
        <v/>
      </c>
      <c r="K544">
        <f>HYPERLINK("Not Found")</f>
        <v/>
      </c>
      <c r="L544">
        <f>HYPERLINK("Not Found")</f>
        <v/>
      </c>
      <c r="M544" t="inlineStr">
        <is>
          <t>Newcastle upon Tyne, United Kingdom</t>
        </is>
      </c>
      <c r="N544" t="inlineStr">
        <is>
          <t>15</t>
        </is>
      </c>
      <c r="O544" t="inlineStr">
        <is>
          <t>Commercial Real Estate</t>
        </is>
      </c>
      <c r="P544" t="inlineStr">
        <is>
          <t>valuation,emerging markets,research</t>
        </is>
      </c>
      <c r="Q544" t="inlineStr">
        <is>
          <t>Not Found</t>
        </is>
      </c>
    </row>
    <row r="545">
      <c r="A545" t="inlineStr">
        <is>
          <t>57da47b6a6da984a3c22875f</t>
        </is>
      </c>
      <c r="B545" t="inlineStr">
        <is>
          <t>Fabio Ltd</t>
        </is>
      </c>
      <c r="C545">
        <f>HYPERLINK("http://www.linkedin.com/in/fabio-esposito-coffee-passion-ltd-a73477b7")</f>
        <v/>
      </c>
      <c r="D545" t="inlineStr">
        <is>
          <t>Not Found</t>
        </is>
      </c>
      <c r="E545" t="inlineStr">
        <is>
          <t>Director</t>
        </is>
      </c>
      <c r="F545">
        <f>HYPERLINK("https://app.apollo.io/#/people/57da47b6a6da984a3c22875f")</f>
        <v/>
      </c>
      <c r="G545" t="inlineStr">
        <is>
          <t>COFFEE PASSION LTD</t>
        </is>
      </c>
      <c r="H545">
        <f>HYPERLINK("https://app.apollo.io/#/organizations/55920f2873696418650d4500")</f>
        <v/>
      </c>
      <c r="I545">
        <f>HYPERLINK("http://www.coffeepassion.co.uk/")</f>
        <v/>
      </c>
      <c r="J545">
        <f>HYPERLINK("http://www.linkedin.com/company/coffee-passion-ltd")</f>
        <v/>
      </c>
      <c r="K545">
        <f>HYPERLINK("Not Found")</f>
        <v/>
      </c>
      <c r="L545">
        <f>HYPERLINK("Not Found")</f>
        <v/>
      </c>
      <c r="M545" t="inlineStr">
        <is>
          <t>London, United Kingdom</t>
        </is>
      </c>
      <c r="N545" t="inlineStr">
        <is>
          <t>5</t>
        </is>
      </c>
      <c r="O545" t="inlineStr">
        <is>
          <t>Commercial Real Estate</t>
        </is>
      </c>
      <c r="Q545" t="inlineStr">
        <is>
          <t>Not Found</t>
        </is>
      </c>
    </row>
    <row r="546">
      <c r="A546" t="inlineStr">
        <is>
          <t>5aa44a60a6da98425bcc9e75</t>
        </is>
      </c>
      <c r="B546" t="inlineStr">
        <is>
          <t>Matthew Webb</t>
        </is>
      </c>
      <c r="C546">
        <f>HYPERLINK("http://www.linkedin.com/in/matthew-webb-62195aab")</f>
        <v/>
      </c>
      <c r="D546" t="inlineStr">
        <is>
          <t>Not Found</t>
        </is>
      </c>
      <c r="E546" t="inlineStr">
        <is>
          <t>Director</t>
        </is>
      </c>
      <c r="F546">
        <f>HYPERLINK("https://app.apollo.io/#/people/5aa44a60a6da98425bcc9e75")</f>
        <v/>
      </c>
      <c r="G546" t="inlineStr">
        <is>
          <t>Colliers</t>
        </is>
      </c>
      <c r="H546">
        <f>HYPERLINK("https://app.apollo.io/#/accounts/64aaf6c63d556a0001e8eda6")</f>
        <v/>
      </c>
      <c r="I546">
        <f>HYPERLINK("http://www.colliers.com/")</f>
        <v/>
      </c>
      <c r="J546">
        <f>HYPERLINK("http://www.linkedin.com/company/colliers")</f>
        <v/>
      </c>
      <c r="K546">
        <f>HYPERLINK("https://twitter.com/Colliers")</f>
        <v/>
      </c>
      <c r="L546">
        <f>HYPERLINK("https://facebook.com/colliersinternational/")</f>
        <v/>
      </c>
      <c r="M546" t="inlineStr">
        <is>
          <t>London, United Kingdom</t>
        </is>
      </c>
      <c r="N546" t="inlineStr">
        <is>
          <t>25,000</t>
        </is>
      </c>
      <c r="O546" t="inlineStr">
        <is>
          <t>Commercial Real Estate</t>
        </is>
      </c>
      <c r="P546" t="inlineStr">
        <is>
          <t>brokerage &amp; agency,corporate solutions</t>
        </is>
      </c>
      <c r="Q546" t="inlineStr">
        <is>
          <t>Not Found</t>
        </is>
      </c>
    </row>
    <row r="547">
      <c r="A547" t="inlineStr">
        <is>
          <t>54a70f7874686968293a9311</t>
        </is>
      </c>
      <c r="B547" t="inlineStr">
        <is>
          <t>David Cartmell</t>
        </is>
      </c>
      <c r="C547">
        <f>HYPERLINK("http://www.linkedin.com/in/david-cartmell-2bba1725")</f>
        <v/>
      </c>
      <c r="D547" t="inlineStr">
        <is>
          <t>Not Found</t>
        </is>
      </c>
      <c r="E547" t="inlineStr">
        <is>
          <t>Director</t>
        </is>
      </c>
      <c r="F547">
        <f>HYPERLINK("https://app.apollo.io/#/people/54a70f7874686968293a9311")</f>
        <v/>
      </c>
      <c r="G547" t="inlineStr">
        <is>
          <t>CSQ Consult</t>
        </is>
      </c>
      <c r="H547">
        <f>HYPERLINK("https://app.apollo.io/#/organizations/54a12a8469702d9ebc820002")</f>
        <v/>
      </c>
      <c r="I547">
        <f>HYPERLINK("http://www.csqconsult.com/")</f>
        <v/>
      </c>
      <c r="J547">
        <f>HYPERLINK("http://www.linkedin.com/company/csq-consult")</f>
        <v/>
      </c>
      <c r="K547">
        <f>HYPERLINK("https://twitter.com/CSQConsult")</f>
        <v/>
      </c>
      <c r="L547">
        <f>HYPERLINK("Not Found")</f>
        <v/>
      </c>
      <c r="M547" t="inlineStr">
        <is>
          <t>Edinburgh, United Kingdom</t>
        </is>
      </c>
      <c r="N547" t="inlineStr">
        <is>
          <t>8</t>
        </is>
      </c>
      <c r="O547" t="inlineStr">
        <is>
          <t>Commercial Real Estate</t>
        </is>
      </c>
      <c r="P547" t="inlineStr">
        <is>
          <t>building surveying &amp; project management</t>
        </is>
      </c>
      <c r="Q547" t="inlineStr">
        <is>
          <t>Not Found</t>
        </is>
      </c>
    </row>
    <row r="548">
      <c r="A548" t="inlineStr">
        <is>
          <t>54abe3b07468692ca1b01214</t>
        </is>
      </c>
      <c r="B548" t="inlineStr">
        <is>
          <t>Brendan Brookman</t>
        </is>
      </c>
      <c r="C548">
        <f>HYPERLINK("http://www.linkedin.com/in/brendan-brookman-89353439")</f>
        <v/>
      </c>
      <c r="D548" t="inlineStr">
        <is>
          <t>Not Found</t>
        </is>
      </c>
      <c r="E548" t="inlineStr">
        <is>
          <t>Director</t>
        </is>
      </c>
      <c r="F548">
        <f>HYPERLINK("https://app.apollo.io/#/people/54abe3b07468692ca1b01214")</f>
        <v/>
      </c>
      <c r="G548" t="inlineStr">
        <is>
          <t>Colliers</t>
        </is>
      </c>
      <c r="H548">
        <f>HYPERLINK("https://app.apollo.io/#/accounts/64aaf6c63d556a0001e8eda6")</f>
        <v/>
      </c>
      <c r="I548">
        <f>HYPERLINK("http://www.colliers.com/")</f>
        <v/>
      </c>
      <c r="J548">
        <f>HYPERLINK("http://www.linkedin.com/company/colliers")</f>
        <v/>
      </c>
      <c r="K548">
        <f>HYPERLINK("https://twitter.com/Colliers")</f>
        <v/>
      </c>
      <c r="L548">
        <f>HYPERLINK("https://facebook.com/colliersinternational/")</f>
        <v/>
      </c>
      <c r="M548" t="inlineStr">
        <is>
          <t>London, United Kingdom</t>
        </is>
      </c>
      <c r="N548" t="inlineStr">
        <is>
          <t>25,000</t>
        </is>
      </c>
      <c r="O548" t="inlineStr">
        <is>
          <t>Commercial Real Estate</t>
        </is>
      </c>
      <c r="P548" t="inlineStr">
        <is>
          <t>brokerage &amp; agency,corporate solutions</t>
        </is>
      </c>
      <c r="Q548" t="inlineStr">
        <is>
          <t>Not Found</t>
        </is>
      </c>
    </row>
    <row r="549">
      <c r="A549" t="inlineStr">
        <is>
          <t>57d85897a6da9878832b0fc4</t>
        </is>
      </c>
      <c r="B549" t="inlineStr">
        <is>
          <t>Jeremy Barnard</t>
        </is>
      </c>
      <c r="C549">
        <f>HYPERLINK("http://www.linkedin.com/in/jeremy-barnard-b4780444")</f>
        <v/>
      </c>
      <c r="D549" t="inlineStr">
        <is>
          <t>Not Found</t>
        </is>
      </c>
      <c r="E549" t="inlineStr">
        <is>
          <t>Director</t>
        </is>
      </c>
      <c r="F549">
        <f>HYPERLINK("https://app.apollo.io/#/people/57d85897a6da9878832b0fc4")</f>
        <v/>
      </c>
      <c r="G549" t="inlineStr">
        <is>
          <t>JMW Barnard LLP</t>
        </is>
      </c>
      <c r="H549">
        <f>HYPERLINK("https://app.apollo.io/#/organizations/54a1364969702d46f0e81101")</f>
        <v/>
      </c>
      <c r="I549">
        <f>HYPERLINK("http://www.jmwbarnard.com/")</f>
        <v/>
      </c>
      <c r="J549">
        <f>HYPERLINK("http://www.linkedin.com/company/jmw-barnard-llp")</f>
        <v/>
      </c>
      <c r="K549">
        <f>HYPERLINK("http://www.twitter.com/jmwbarnard")</f>
        <v/>
      </c>
      <c r="L549">
        <f>HYPERLINK("Not Found")</f>
        <v/>
      </c>
      <c r="M549" t="inlineStr">
        <is>
          <t>United Kingdom</t>
        </is>
      </c>
      <c r="N549" t="inlineStr">
        <is>
          <t>10</t>
        </is>
      </c>
      <c r="O549" t="inlineStr">
        <is>
          <t>Commercial Real Estate</t>
        </is>
      </c>
      <c r="P549" t="inlineStr">
        <is>
          <t>commercial property,commercial real estate</t>
        </is>
      </c>
      <c r="Q549" t="inlineStr">
        <is>
          <t>Not Found</t>
        </is>
      </c>
    </row>
    <row r="550">
      <c r="A550" t="inlineStr">
        <is>
          <t>5adb50f8a6da9861582f7902</t>
        </is>
      </c>
      <c r="B550" t="inlineStr">
        <is>
          <t>David Savage</t>
        </is>
      </c>
      <c r="C550">
        <f>HYPERLINK("http://www.linkedin.com/in/david-savage-791a981a")</f>
        <v/>
      </c>
      <c r="D550" t="inlineStr">
        <is>
          <t>Not Found</t>
        </is>
      </c>
      <c r="E550" t="inlineStr">
        <is>
          <t>Director</t>
        </is>
      </c>
      <c r="F550">
        <f>HYPERLINK("https://app.apollo.io/#/people/5adb50f8a6da9861582f7902")</f>
        <v/>
      </c>
      <c r="G550" t="inlineStr">
        <is>
          <t>Clare &amp; Company</t>
        </is>
      </c>
      <c r="H550">
        <f>HYPERLINK("https://app.apollo.io/#/organizations/5a9f426fa6da98d97e82249e")</f>
        <v/>
      </c>
      <c r="I550">
        <f>HYPERLINK("http://www.clareandcompany.co.uk/")</f>
        <v/>
      </c>
      <c r="J550">
        <f>HYPERLINK("http://www.linkedin.com/company/clare-&amp;-company")</f>
        <v/>
      </c>
      <c r="K550">
        <f>HYPERLINK("Not Found")</f>
        <v/>
      </c>
      <c r="L550">
        <f>HYPERLINK("Not Found")</f>
        <v/>
      </c>
      <c r="M550" t="inlineStr">
        <is>
          <t>Guildford, United Kingdom</t>
        </is>
      </c>
      <c r="N550" t="inlineStr">
        <is>
          <t>1</t>
        </is>
      </c>
      <c r="O550" t="inlineStr">
        <is>
          <t>Commercial Real Estate</t>
        </is>
      </c>
      <c r="Q550" t="inlineStr">
        <is>
          <t>Not Found</t>
        </is>
      </c>
    </row>
    <row r="551">
      <c r="A551" t="inlineStr">
        <is>
          <t>54aaa17c7468690b75f9360f</t>
        </is>
      </c>
      <c r="B551" t="inlineStr">
        <is>
          <t>Steve Berrett</t>
        </is>
      </c>
      <c r="C551">
        <f>HYPERLINK("http://www.linkedin.com/in/steve-berrett-42872128")</f>
        <v/>
      </c>
      <c r="D551" t="inlineStr">
        <is>
          <t>Not Found</t>
        </is>
      </c>
      <c r="E551" t="inlineStr">
        <is>
          <t>Partner, Head of Business Space Agency</t>
        </is>
      </c>
      <c r="F551">
        <f>HYPERLINK("https://app.apollo.io/#/people/54aaa17c7468690b75f9360f")</f>
        <v/>
      </c>
      <c r="G551" t="inlineStr">
        <is>
          <t>Vail Williams</t>
        </is>
      </c>
      <c r="H551">
        <f>HYPERLINK("https://app.apollo.io/#/accounts/6578bf02ccf69c02cc54f0ad")</f>
        <v/>
      </c>
      <c r="I551">
        <f>HYPERLINK("http://www.vailwilliams.com/")</f>
        <v/>
      </c>
      <c r="J551">
        <f>HYPERLINK("http://www.linkedin.com/company/vail-williams")</f>
        <v/>
      </c>
      <c r="K551">
        <f>HYPERLINK("https://twitter.com/vailwilliams")</f>
        <v/>
      </c>
      <c r="L551">
        <f>HYPERLINK("https://www.facebook.com/vailwilliams")</f>
        <v/>
      </c>
      <c r="M551" t="inlineStr">
        <is>
          <t>England, United Kingdom</t>
        </is>
      </c>
      <c r="N551" t="inlineStr">
        <is>
          <t>200</t>
        </is>
      </c>
      <c r="O551" t="inlineStr">
        <is>
          <t>Commercial Real Estate</t>
        </is>
      </c>
      <c r="P551" t="inlineStr">
        <is>
          <t>real estate,real estate agents</t>
        </is>
      </c>
      <c r="Q551" t="inlineStr">
        <is>
          <t>Not Found</t>
        </is>
      </c>
    </row>
    <row r="552">
      <c r="A552" t="inlineStr">
        <is>
          <t>5ac3ebd9a6da9814625ef036</t>
        </is>
      </c>
      <c r="B552" t="inlineStr">
        <is>
          <t>Adrian Payne</t>
        </is>
      </c>
      <c r="C552">
        <f>HYPERLINK("http://www.linkedin.com/in/adrian-payne-594b8b42")</f>
        <v/>
      </c>
      <c r="D552" t="inlineStr">
        <is>
          <t>Not Found</t>
        </is>
      </c>
      <c r="E552" t="inlineStr">
        <is>
          <t>Director</t>
        </is>
      </c>
      <c r="F552">
        <f>HYPERLINK("https://app.apollo.io/#/people/5ac3ebd9a6da9814625ef036")</f>
        <v/>
      </c>
      <c r="G552" t="inlineStr">
        <is>
          <t>Colliers</t>
        </is>
      </c>
      <c r="H552">
        <f>HYPERLINK("https://app.apollo.io/#/accounts/64aaf6c63d556a0001e8eda6")</f>
        <v/>
      </c>
      <c r="I552">
        <f>HYPERLINK("http://www.colliers.com/")</f>
        <v/>
      </c>
      <c r="J552">
        <f>HYPERLINK("http://www.linkedin.com/company/colliers")</f>
        <v/>
      </c>
      <c r="K552">
        <f>HYPERLINK("https://twitter.com/Colliers")</f>
        <v/>
      </c>
      <c r="L552">
        <f>HYPERLINK("https://facebook.com/colliersinternational/")</f>
        <v/>
      </c>
      <c r="M552" t="inlineStr">
        <is>
          <t>London, United Kingdom</t>
        </is>
      </c>
      <c r="N552" t="inlineStr">
        <is>
          <t>25,000</t>
        </is>
      </c>
      <c r="O552" t="inlineStr">
        <is>
          <t>Commercial Real Estate</t>
        </is>
      </c>
      <c r="P552" t="inlineStr">
        <is>
          <t>brokerage &amp; agency,corporate solutions</t>
        </is>
      </c>
      <c r="Q552" t="inlineStr">
        <is>
          <t>Not Found</t>
        </is>
      </c>
    </row>
    <row r="553">
      <c r="A553" t="inlineStr">
        <is>
          <t>5c6cff0da3ae612feb3f5748</t>
        </is>
      </c>
      <c r="B553" t="inlineStr">
        <is>
          <t>Luis Freitas</t>
        </is>
      </c>
      <c r="C553">
        <f>HYPERLINK("http://www.linkedin.com/in/luis-freitas-aba42b33")</f>
        <v/>
      </c>
      <c r="D553" t="inlineStr">
        <is>
          <t>Not Found</t>
        </is>
      </c>
      <c r="E553" t="inlineStr">
        <is>
          <t>Director</t>
        </is>
      </c>
      <c r="F553">
        <f>HYPERLINK("https://app.apollo.io/#/people/5c6cff0da3ae612feb3f5748")</f>
        <v/>
      </c>
      <c r="G553" t="inlineStr">
        <is>
          <t>Freitaslaf Net Ltd</t>
        </is>
      </c>
      <c r="H553">
        <f>HYPERLINK("https://app.apollo.io/#/organizations/5592116773696418a5144e00")</f>
        <v/>
      </c>
      <c r="I553">
        <f>HYPERLINK("http://www.freitaslaf.net/")</f>
        <v/>
      </c>
      <c r="J553">
        <f>HYPERLINK("http://www.linkedin.com/company/freitaslaf-net-ltd")</f>
        <v/>
      </c>
      <c r="K553">
        <f>HYPERLINK("https://www.twitter.com/freitaslaf_net")</f>
        <v/>
      </c>
      <c r="L553">
        <f>HYPERLINK("https://www.facebook.com/Freitaslaf.Net.LTD")</f>
        <v/>
      </c>
      <c r="M553" t="inlineStr">
        <is>
          <t>Peterborough, United Kingdom</t>
        </is>
      </c>
      <c r="N553" t="inlineStr">
        <is>
          <t>2</t>
        </is>
      </c>
      <c r="O553" t="inlineStr">
        <is>
          <t>Commercial Real Estate</t>
        </is>
      </c>
      <c r="Q553" t="inlineStr">
        <is>
          <t>Not Found</t>
        </is>
      </c>
    </row>
    <row r="554">
      <c r="A554" t="inlineStr">
        <is>
          <t>5b364a03a6da980c2272971b</t>
        </is>
      </c>
      <c r="B554" t="inlineStr">
        <is>
          <t>Michael Larkin</t>
        </is>
      </c>
      <c r="C554">
        <f>HYPERLINK("http://www.linkedin.com/in/michael-larkin-aaab394")</f>
        <v/>
      </c>
      <c r="D554" t="inlineStr">
        <is>
          <t>Not Found</t>
        </is>
      </c>
      <c r="E554" t="inlineStr">
        <is>
          <t>Director</t>
        </is>
      </c>
      <c r="F554">
        <f>HYPERLINK("https://app.apollo.io/#/people/5b364a03a6da980c2272971b")</f>
        <v/>
      </c>
      <c r="G554" t="inlineStr">
        <is>
          <t>Larken Associates</t>
        </is>
      </c>
      <c r="H554">
        <f>HYPERLINK("https://app.apollo.io/#/organizations/55ed3de6f3e5bb3871000813")</f>
        <v/>
      </c>
      <c r="I554">
        <f>HYPERLINK("http://www.larkenassociates.com/")</f>
        <v/>
      </c>
      <c r="J554">
        <f>HYPERLINK("http://www.linkedin.com/company/larken-associates")</f>
        <v/>
      </c>
      <c r="K554">
        <f>HYPERLINK("https://twitter.com/LarkenAssociate")</f>
        <v/>
      </c>
      <c r="L554">
        <f>HYPERLINK("https://www.facebook.com/LarkenAssociates")</f>
        <v/>
      </c>
      <c r="M554" t="inlineStr">
        <is>
          <t>London, United Kingdom</t>
        </is>
      </c>
      <c r="N554" t="inlineStr">
        <is>
          <t>82</t>
        </is>
      </c>
      <c r="O554" t="inlineStr">
        <is>
          <t>Commercial Real Estate</t>
        </is>
      </c>
      <c r="P554" t="inlineStr">
        <is>
          <t>property management,brokerage,construction</t>
        </is>
      </c>
      <c r="Q554" t="inlineStr">
        <is>
          <t>Not Found</t>
        </is>
      </c>
    </row>
    <row r="555">
      <c r="A555" t="inlineStr">
        <is>
          <t>57db394fa6da984bb8bbf4db</t>
        </is>
      </c>
      <c r="B555" t="inlineStr">
        <is>
          <t>Nicola Peace</t>
        </is>
      </c>
      <c r="C555">
        <f>HYPERLINK("http://www.linkedin.com/in/nicola-peace-4894a3a6")</f>
        <v/>
      </c>
      <c r="D555" t="inlineStr">
        <is>
          <t>Not Found</t>
        </is>
      </c>
      <c r="E555" t="inlineStr">
        <is>
          <t>Director</t>
        </is>
      </c>
      <c r="F555">
        <f>HYPERLINK("https://app.apollo.io/#/people/57db394fa6da984bb8bbf4db")</f>
        <v/>
      </c>
      <c r="G555" t="inlineStr">
        <is>
          <t>Peace of Mind Properties</t>
        </is>
      </c>
      <c r="H555">
        <f>HYPERLINK("https://app.apollo.io/#/organizations/614c19c1c1495500013d2a8b")</f>
        <v/>
      </c>
      <c r="I555">
        <f>HYPERLINK("http://www.peaceofmindproperties.co.uk/")</f>
        <v/>
      </c>
      <c r="J555">
        <f>HYPERLINK("http://www.linkedin.com/company/peace-of-mind-properties")</f>
        <v/>
      </c>
      <c r="K555">
        <f>HYPERLINK("Not Found")</f>
        <v/>
      </c>
      <c r="L555">
        <f>HYPERLINK("https://www.facebook.com/PeaceOfMindProperties.co.uk/")</f>
        <v/>
      </c>
      <c r="M555" t="inlineStr">
        <is>
          <t>England, United Kingdom</t>
        </is>
      </c>
      <c r="N555" t="inlineStr">
        <is>
          <t>4</t>
        </is>
      </c>
      <c r="O555" t="inlineStr">
        <is>
          <t>Commercial Real Estate</t>
        </is>
      </c>
      <c r="P555" t="inlineStr">
        <is>
          <t>hmo conversions,hmo property management</t>
        </is>
      </c>
      <c r="Q555" t="inlineStr">
        <is>
          <t>Not Found</t>
        </is>
      </c>
    </row>
    <row r="556">
      <c r="A556" t="inlineStr">
        <is>
          <t>61f7a3dacdeb3f00019cdc27</t>
        </is>
      </c>
      <c r="B556" t="inlineStr">
        <is>
          <t>Richard Woodman-Bailey</t>
        </is>
      </c>
      <c r="C556">
        <f>HYPERLINK("http://www.linkedin.com/in/richard-woodman-bailey-3b0ab317")</f>
        <v/>
      </c>
      <c r="D556" t="inlineStr">
        <is>
          <t>Not Found</t>
        </is>
      </c>
      <c r="E556" t="inlineStr">
        <is>
          <t>Director</t>
        </is>
      </c>
      <c r="F556">
        <f>HYPERLINK("https://app.apollo.io/#/people/61f7a3dacdeb3f00019cdc27")</f>
        <v/>
      </c>
      <c r="G556" t="inlineStr">
        <is>
          <t>RO Group</t>
        </is>
      </c>
      <c r="H556">
        <f>HYPERLINK("https://app.apollo.io/#/organizations/5d09ed3df65125d4cb2cdeba")</f>
        <v/>
      </c>
      <c r="I556">
        <f>HYPERLINK("http://www.rogroup.co.uk/")</f>
        <v/>
      </c>
      <c r="J556">
        <f>HYPERLINK("http://www.linkedin.com/company/ro-group")</f>
        <v/>
      </c>
      <c r="K556">
        <f>HYPERLINK("Not Found")</f>
        <v/>
      </c>
      <c r="L556">
        <f>HYPERLINK("Not Found")</f>
        <v/>
      </c>
      <c r="M556" t="inlineStr">
        <is>
          <t>Potters Bar, United Kingdom</t>
        </is>
      </c>
      <c r="N556" t="inlineStr">
        <is>
          <t>26</t>
        </is>
      </c>
      <c r="O556" t="inlineStr">
        <is>
          <t>Commercial Real Estate</t>
        </is>
      </c>
      <c r="P556" t="inlineStr">
        <is>
          <t>real estate,trading,holiday lodge developments</t>
        </is>
      </c>
      <c r="Q556" t="inlineStr">
        <is>
          <t>Not Found</t>
        </is>
      </c>
    </row>
    <row r="557">
      <c r="A557" t="inlineStr">
        <is>
          <t>57ddb7eaa6da987b4d95f695</t>
        </is>
      </c>
      <c r="B557" t="inlineStr">
        <is>
          <t>Sam Hirst</t>
        </is>
      </c>
      <c r="C557">
        <f>HYPERLINK("http://www.linkedin.com/in/sam-hirst1")</f>
        <v/>
      </c>
      <c r="D557" t="inlineStr">
        <is>
          <t>Not Found</t>
        </is>
      </c>
      <c r="E557" t="inlineStr">
        <is>
          <t>Talent Acquisition Partner - Local Services</t>
        </is>
      </c>
      <c r="F557">
        <f>HYPERLINK("https://app.apollo.io/#/people/57ddb7eaa6da987b4d95f695")</f>
        <v/>
      </c>
      <c r="G557" t="inlineStr">
        <is>
          <t>CBRE Global Workplace Solutions (GWS)</t>
        </is>
      </c>
      <c r="H557">
        <f>HYPERLINK("https://app.apollo.io/#/accounts/6509fed6f449800001b69a15")</f>
        <v/>
      </c>
      <c r="I557">
        <f>HYPERLINK("http://www.coor.com/")</f>
        <v/>
      </c>
      <c r="J557">
        <f>HYPERLINK("http://www.linkedin.com/company/cbre-gws")</f>
        <v/>
      </c>
      <c r="K557">
        <f>HYPERLINK("Not Found")</f>
        <v/>
      </c>
      <c r="L557">
        <f>HYPERLINK("Not Found")</f>
        <v/>
      </c>
      <c r="M557" t="inlineStr">
        <is>
          <t>Leeds, United Kingdom</t>
        </is>
      </c>
      <c r="N557" t="inlineStr">
        <is>
          <t>15,000</t>
        </is>
      </c>
      <c r="O557" t="inlineStr">
        <is>
          <t>Commercial Real Estate</t>
        </is>
      </c>
      <c r="P557" t="inlineStr">
        <is>
          <t>project management,advisory,transaction services</t>
        </is>
      </c>
      <c r="Q557" t="inlineStr">
        <is>
          <t>Not Found</t>
        </is>
      </c>
    </row>
    <row r="558">
      <c r="A558" t="inlineStr">
        <is>
          <t>57e036e2a6da985ee2b81bdc</t>
        </is>
      </c>
      <c r="B558" t="inlineStr">
        <is>
          <t>Gregory Park</t>
        </is>
      </c>
      <c r="C558">
        <f>HYPERLINK("http://www.linkedin.com/in/gregory-park-25a31a13")</f>
        <v/>
      </c>
      <c r="D558" t="inlineStr">
        <is>
          <t>Not Found</t>
        </is>
      </c>
      <c r="E558" t="inlineStr">
        <is>
          <t>Director</t>
        </is>
      </c>
      <c r="F558">
        <f>HYPERLINK("https://app.apollo.io/#/people/57e036e2a6da985ee2b81bdc")</f>
        <v/>
      </c>
      <c r="G558" t="inlineStr">
        <is>
          <t>Park Steele</t>
        </is>
      </c>
      <c r="H558">
        <f>HYPERLINK("https://app.apollo.io/#/organizations/55921a8f73696418a52f6f00")</f>
        <v/>
      </c>
      <c r="I558">
        <f>HYPERLINK("http://www.parksteele.com/")</f>
        <v/>
      </c>
      <c r="J558">
        <f>HYPERLINK("http://www.linkedin.com/company/park-steele")</f>
        <v/>
      </c>
      <c r="K558">
        <f>HYPERLINK("Not Found")</f>
        <v/>
      </c>
      <c r="L558">
        <f>HYPERLINK("Not Found")</f>
        <v/>
      </c>
      <c r="M558" t="inlineStr">
        <is>
          <t>Chichester, United Kingdom</t>
        </is>
      </c>
      <c r="N558" t="inlineStr">
        <is>
          <t>4</t>
        </is>
      </c>
      <c r="O558" t="inlineStr">
        <is>
          <t>Commercial Real Estate</t>
        </is>
      </c>
      <c r="Q558" t="inlineStr">
        <is>
          <t>Not Found</t>
        </is>
      </c>
    </row>
    <row r="559">
      <c r="A559" t="inlineStr">
        <is>
          <t>628cd26176e56c000136d185</t>
        </is>
      </c>
      <c r="B559" t="inlineStr">
        <is>
          <t>Peter Silva</t>
        </is>
      </c>
      <c r="C559">
        <f>HYPERLINK("http://www.linkedin.com/in/peter-da-silva-80b410a7")</f>
        <v/>
      </c>
      <c r="D559" t="inlineStr">
        <is>
          <t>Not Found</t>
        </is>
      </c>
      <c r="E559" t="inlineStr">
        <is>
          <t>Director</t>
        </is>
      </c>
      <c r="F559">
        <f>HYPERLINK("https://app.apollo.io/#/people/628cd26176e56c000136d185")</f>
        <v/>
      </c>
      <c r="G559" t="inlineStr">
        <is>
          <t>Wadham &amp; Isherwood</t>
        </is>
      </c>
      <c r="H559">
        <f>HYPERLINK("https://app.apollo.io/#/organizations/556d50db73696412023ae900")</f>
        <v/>
      </c>
      <c r="I559">
        <f>HYPERLINK("Not Found")</f>
        <v/>
      </c>
      <c r="J559">
        <f>HYPERLINK("http://www.linkedin.com/company/wadham-&amp;-isherwood")</f>
        <v/>
      </c>
      <c r="K559">
        <f>HYPERLINK("Not Found")</f>
        <v/>
      </c>
      <c r="L559">
        <f>HYPERLINK("Not Found")</f>
        <v/>
      </c>
      <c r="M559" t="inlineStr">
        <is>
          <t>United Kingdom</t>
        </is>
      </c>
      <c r="N559" t="inlineStr">
        <is>
          <t>7</t>
        </is>
      </c>
      <c r="O559" t="inlineStr">
        <is>
          <t>Commercial Real Estate</t>
        </is>
      </c>
      <c r="P559" t="inlineStr">
        <is>
          <t>disposals,acquisitions,investment</t>
        </is>
      </c>
      <c r="Q559" t="inlineStr">
        <is>
          <t>Not Found</t>
        </is>
      </c>
    </row>
    <row r="560">
      <c r="A560" t="inlineStr">
        <is>
          <t>55713424736964448fa50d00</t>
        </is>
      </c>
      <c r="B560" t="inlineStr">
        <is>
          <t>Paul Smith</t>
        </is>
      </c>
      <c r="C560">
        <f>HYPERLINK("http://www.linkedin.com/in/paul-smith-mrics-1b130618")</f>
        <v/>
      </c>
      <c r="D560" t="inlineStr">
        <is>
          <t>Not Found</t>
        </is>
      </c>
      <c r="E560" t="inlineStr">
        <is>
          <t>Director</t>
        </is>
      </c>
      <c r="F560">
        <f>HYPERLINK("https://app.apollo.io/#/people/55713424736964448fa50d00")</f>
        <v/>
      </c>
      <c r="G560" t="inlineStr">
        <is>
          <t>Inviso Building Surveying and Energy Assessment Ltd</t>
        </is>
      </c>
      <c r="H560">
        <f>HYPERLINK("https://app.apollo.io/#/organizations/54a129f669702d90a26b0802")</f>
        <v/>
      </c>
      <c r="I560">
        <f>HYPERLINK("http://www.ebuildingsurveyors.com/")</f>
        <v/>
      </c>
      <c r="J560">
        <f>HYPERLINK("http://www.linkedin.com/company/inviso-building-surveying-and-energy-assessment-ltd")</f>
        <v/>
      </c>
      <c r="K560">
        <f>HYPERLINK("Not Found")</f>
        <v/>
      </c>
      <c r="L560">
        <f>HYPERLINK("Not Found")</f>
        <v/>
      </c>
      <c r="M560" t="inlineStr">
        <is>
          <t>Leicester, United Kingdom</t>
        </is>
      </c>
      <c r="N560" t="inlineStr">
        <is>
          <t>1</t>
        </is>
      </c>
      <c r="O560" t="inlineStr">
        <is>
          <t>Commercial Real Estate</t>
        </is>
      </c>
      <c r="Q560" t="inlineStr">
        <is>
          <t>Not Found</t>
        </is>
      </c>
    </row>
    <row r="561">
      <c r="A561" t="inlineStr">
        <is>
          <t>6110452643e4fb0001895bce</t>
        </is>
      </c>
      <c r="B561" t="inlineStr">
        <is>
          <t>Ivan Lee</t>
        </is>
      </c>
      <c r="C561">
        <f>HYPERLINK("http://www.linkedin.com/in/ivan-lee-7488481a")</f>
        <v/>
      </c>
      <c r="D561" t="inlineStr">
        <is>
          <t>Not Found</t>
        </is>
      </c>
      <c r="E561" t="inlineStr">
        <is>
          <t>Director</t>
        </is>
      </c>
      <c r="F561">
        <f>HYPERLINK("https://app.apollo.io/#/people/6110452643e4fb0001895bce")</f>
        <v/>
      </c>
      <c r="G561" t="inlineStr">
        <is>
          <t>Lee &amp; Associates</t>
        </is>
      </c>
      <c r="H561">
        <f>HYPERLINK("https://app.apollo.io/#/organizations/54a23ca574686935be029c18")</f>
        <v/>
      </c>
      <c r="I561">
        <f>HYPERLINK("http://www.lee-assoc.com/")</f>
        <v/>
      </c>
      <c r="J561">
        <f>HYPERLINK("Not Found")</f>
        <v/>
      </c>
      <c r="K561">
        <f>HYPERLINK("Not Found")</f>
        <v/>
      </c>
      <c r="L561">
        <f>HYPERLINK("Not Found")</f>
        <v/>
      </c>
      <c r="M561" t="inlineStr">
        <is>
          <t>London, United Kingdom</t>
        </is>
      </c>
      <c r="N561" t="inlineStr">
        <is>
          <t>180</t>
        </is>
      </c>
      <c r="O561" t="inlineStr">
        <is>
          <t>Commercial Real Estate</t>
        </is>
      </c>
      <c r="Q561" t="inlineStr">
        <is>
          <t>Not Found</t>
        </is>
      </c>
    </row>
    <row r="562">
      <c r="A562" t="inlineStr">
        <is>
          <t>55c538c073696476872e0000</t>
        </is>
      </c>
      <c r="B562" t="inlineStr">
        <is>
          <t>Antoine Kerck</t>
        </is>
      </c>
      <c r="C562">
        <f>HYPERLINK("http://www.linkedin.com/in/antoine-kerck-b71241a2")</f>
        <v/>
      </c>
      <c r="D562" t="inlineStr">
        <is>
          <t>Not Found</t>
        </is>
      </c>
      <c r="E562" t="inlineStr">
        <is>
          <t>Vice President of Investments</t>
        </is>
      </c>
      <c r="F562">
        <f>HYPERLINK("https://app.apollo.io/#/people/55c538c073696476872e0000")</f>
        <v/>
      </c>
      <c r="G562" t="inlineStr">
        <is>
          <t>Cabot Properties</t>
        </is>
      </c>
      <c r="H562">
        <f>HYPERLINK("https://app.apollo.io/#/organizations/5e58f0df0b10e4000151f486")</f>
        <v/>
      </c>
      <c r="I562">
        <f>HYPERLINK("http://www.cabotprop.com/")</f>
        <v/>
      </c>
      <c r="J562">
        <f>HYPERLINK("http://www.linkedin.com/company/cabot-properties-inc.")</f>
        <v/>
      </c>
      <c r="K562">
        <f>HYPERLINK("Not Found")</f>
        <v/>
      </c>
      <c r="L562">
        <f>HYPERLINK("Not Found")</f>
        <v/>
      </c>
      <c r="M562" t="inlineStr">
        <is>
          <t>London, United Kingdom</t>
        </is>
      </c>
      <c r="N562" t="inlineStr">
        <is>
          <t>130</t>
        </is>
      </c>
      <c r="O562" t="inlineStr">
        <is>
          <t>Commercial Real Estate</t>
        </is>
      </c>
      <c r="P562" t="inlineStr">
        <is>
          <t>private equity,industrial real estate</t>
        </is>
      </c>
      <c r="Q562" t="inlineStr">
        <is>
          <t>Not Found</t>
        </is>
      </c>
    </row>
    <row r="563">
      <c r="A563" t="inlineStr">
        <is>
          <t>61b4a1f004c76700014d60d6</t>
        </is>
      </c>
      <c r="B563" t="inlineStr">
        <is>
          <t>Peter Heather</t>
        </is>
      </c>
      <c r="C563">
        <f>HYPERLINK("http://www.linkedin.com/in/peter-heather-586052200")</f>
        <v/>
      </c>
      <c r="D563" t="inlineStr">
        <is>
          <t>Not Found</t>
        </is>
      </c>
      <c r="E563" t="inlineStr">
        <is>
          <t>Former Founding Partner and now Consultant</t>
        </is>
      </c>
      <c r="F563">
        <f>HYPERLINK("https://app.apollo.io/#/people/61b4a1f004c76700014d60d6")</f>
        <v/>
      </c>
      <c r="G563" t="inlineStr">
        <is>
          <t>Miller Commercial - Chartered Surveyors and Business Property Specialists</t>
        </is>
      </c>
      <c r="H563">
        <f>HYPERLINK("https://app.apollo.io/#/organizations/54a11fe369702d918cbe1402")</f>
        <v/>
      </c>
      <c r="I563">
        <f>HYPERLINK("http://www.miller-commercial.co.uk/")</f>
        <v/>
      </c>
      <c r="J563">
        <f>HYPERLINK("http://www.linkedin.com/company/miller-commercial")</f>
        <v/>
      </c>
      <c r="K563">
        <f>HYPERLINK("https://twitter.com/MillerComProp")</f>
        <v/>
      </c>
      <c r="L563">
        <f>HYPERLINK("Not Found")</f>
        <v/>
      </c>
      <c r="M563" t="inlineStr">
        <is>
          <t>United Kingdom</t>
        </is>
      </c>
      <c r="N563" t="inlineStr">
        <is>
          <t>23</t>
        </is>
      </c>
      <c r="O563" t="inlineStr">
        <is>
          <t>Commercial Real Estate</t>
        </is>
      </c>
      <c r="P563" t="inlineStr">
        <is>
          <t>investment &amp; development,sales &amp; acquisitions</t>
        </is>
      </c>
      <c r="Q563" t="inlineStr">
        <is>
          <t>Not Found</t>
        </is>
      </c>
    </row>
    <row r="564">
      <c r="A564" t="inlineStr">
        <is>
          <t>55714b327369642be1184900</t>
        </is>
      </c>
      <c r="B564" t="inlineStr">
        <is>
          <t>Tim Lescalleet</t>
        </is>
      </c>
      <c r="C564">
        <f>HYPERLINK("http://www.linkedin.com/in/tlescalleet")</f>
        <v/>
      </c>
      <c r="D564" t="inlineStr">
        <is>
          <t>Not Found</t>
        </is>
      </c>
      <c r="E564" t="inlineStr">
        <is>
          <t>Executive Vice President</t>
        </is>
      </c>
      <c r="F564">
        <f>HYPERLINK("https://app.apollo.io/#/people/55714b327369642be1184900")</f>
        <v/>
      </c>
      <c r="G564" t="inlineStr">
        <is>
          <t>INDUS Realty Trust, Inc.</t>
        </is>
      </c>
      <c r="H564">
        <f>HYPERLINK("https://app.apollo.io/#/accounts/6578c0871823b203f32f0d1c")</f>
        <v/>
      </c>
      <c r="I564">
        <f>HYPERLINK("http://www.indusrt.com/")</f>
        <v/>
      </c>
      <c r="J564">
        <f>HYPERLINK("http://www.linkedin.com/company/indus-realty-trust-inc")</f>
        <v/>
      </c>
      <c r="K564">
        <f>HYPERLINK("https://twitter.com/indusrt")</f>
        <v/>
      </c>
      <c r="L564">
        <f>HYPERLINK("Not Found")</f>
        <v/>
      </c>
      <c r="M564" t="inlineStr">
        <is>
          <t>London, United Kingdom</t>
        </is>
      </c>
      <c r="N564" t="inlineStr">
        <is>
          <t>50</t>
        </is>
      </c>
      <c r="O564" t="inlineStr">
        <is>
          <t>Commercial Real Estate</t>
        </is>
      </c>
      <c r="P564" t="inlineStr">
        <is>
          <t>industrial real estate developer,industrial</t>
        </is>
      </c>
      <c r="Q564" t="inlineStr">
        <is>
          <t>Not Found</t>
        </is>
      </c>
    </row>
    <row r="565">
      <c r="A565" t="inlineStr">
        <is>
          <t>54a4c2c47468693676682261</t>
        </is>
      </c>
      <c r="B565" t="inlineStr">
        <is>
          <t>Charles Hadfield</t>
        </is>
      </c>
      <c r="C565">
        <f>HYPERLINK("http://www.linkedin.com/in/charles-hadfield-a3167128")</f>
        <v/>
      </c>
      <c r="D565" t="inlineStr">
        <is>
          <t>Not Found</t>
        </is>
      </c>
      <c r="E565" t="inlineStr">
        <is>
          <t>Director</t>
        </is>
      </c>
      <c r="F565">
        <f>HYPERLINK("https://app.apollo.io/#/people/54a4c2c47468693676682261")</f>
        <v/>
      </c>
      <c r="G565" t="inlineStr">
        <is>
          <t>Regional Property Solutions</t>
        </is>
      </c>
      <c r="H565">
        <f>HYPERLINK("https://app.apollo.io/#/organizations/55eb004af3e5bb03e8003a98")</f>
        <v/>
      </c>
      <c r="I565">
        <f>HYPERLINK("http://www.r-p-s.co.uk/")</f>
        <v/>
      </c>
      <c r="J565">
        <f>HYPERLINK("http://www.linkedin.com/company/regional-property-solutions")</f>
        <v/>
      </c>
      <c r="K565">
        <f>HYPERLINK("Not Found")</f>
        <v/>
      </c>
      <c r="L565">
        <f>HYPERLINK("Not Found")</f>
        <v/>
      </c>
      <c r="M565" t="inlineStr">
        <is>
          <t>Altrincham, United Kingdom</t>
        </is>
      </c>
      <c r="N565" t="inlineStr">
        <is>
          <t>6</t>
        </is>
      </c>
      <c r="O565" t="inlineStr">
        <is>
          <t>Commercial Real Estate</t>
        </is>
      </c>
      <c r="P565" t="inlineStr">
        <is>
          <t>building consultancy,valuation,agency</t>
        </is>
      </c>
      <c r="Q565" t="inlineStr">
        <is>
          <t>Not Found</t>
        </is>
      </c>
    </row>
    <row r="566">
      <c r="A566" t="inlineStr">
        <is>
          <t>6578c05f1823b201ae2f2364</t>
        </is>
      </c>
      <c r="B566" t="inlineStr">
        <is>
          <t>Talib Merali</t>
        </is>
      </c>
      <c r="C566">
        <f>HYPERLINK("http://www.linkedin.com/in/talib-merali-9834944")</f>
        <v/>
      </c>
      <c r="D566" t="inlineStr">
        <is>
          <t>Not Found</t>
        </is>
      </c>
      <c r="E566" t="inlineStr">
        <is>
          <t>Owner</t>
        </is>
      </c>
      <c r="F566">
        <f>HYPERLINK("https://app.apollo.io/#/contacts/6578c05f1823b201ae2f2364")</f>
        <v/>
      </c>
      <c r="G566" t="inlineStr">
        <is>
          <t>Kensington Office Group</t>
        </is>
      </c>
      <c r="H566">
        <f>HYPERLINK("https://app.apollo.io/#/accounts/6578c05f1823b201ae2f2366")</f>
        <v/>
      </c>
      <c r="I566">
        <f>HYPERLINK("http://www.kensingtonofficegroup.com/")</f>
        <v/>
      </c>
      <c r="J566">
        <f>HYPERLINK("http://www.linkedin.com/company/kensingtonofficegroup")</f>
        <v/>
      </c>
      <c r="K566">
        <f>HYPERLINK("https://twitter.com/KOGoffices1")</f>
        <v/>
      </c>
      <c r="L566">
        <f>HYPERLINK("https://www.facebook.com/kensingtonofficegroup/")</f>
        <v/>
      </c>
      <c r="M566" t="inlineStr">
        <is>
          <t>London, United Kingdom</t>
        </is>
      </c>
      <c r="N566" t="inlineStr">
        <is>
          <t>13</t>
        </is>
      </c>
      <c r="O566" t="inlineStr">
        <is>
          <t>Commercial Real Estate</t>
        </is>
      </c>
      <c r="P566" t="inlineStr">
        <is>
          <t>premium office space,office space,luxurious office</t>
        </is>
      </c>
      <c r="Q566" t="inlineStr">
        <is>
          <t>+442039749749</t>
        </is>
      </c>
    </row>
    <row r="567">
      <c r="A567" t="inlineStr">
        <is>
          <t>5ff9590b1dbaab0001728ef0</t>
        </is>
      </c>
      <c r="B567" t="inlineStr">
        <is>
          <t>Eugene Donnelly</t>
        </is>
      </c>
      <c r="C567">
        <f>HYPERLINK("http://www.linkedin.com/in/eugene-donnelly-485946155")</f>
        <v/>
      </c>
      <c r="D567" t="inlineStr">
        <is>
          <t>Not Found</t>
        </is>
      </c>
      <c r="E567" t="inlineStr">
        <is>
          <t>Director</t>
        </is>
      </c>
      <c r="F567">
        <f>HYPERLINK("https://app.apollo.io/#/people/5ff9590b1dbaab0001728ef0")</f>
        <v/>
      </c>
      <c r="G567" t="inlineStr">
        <is>
          <t>VASTUSS LIMITED</t>
        </is>
      </c>
      <c r="H567">
        <f>HYPERLINK("https://app.apollo.io/#/organizations/64c354447486ee000199a4b4")</f>
        <v/>
      </c>
      <c r="I567">
        <f>HYPERLINK("http://www.vastuss.com/")</f>
        <v/>
      </c>
      <c r="J567">
        <f>HYPERLINK("http://www.linkedin.com/company/vastuss-limited")</f>
        <v/>
      </c>
      <c r="K567">
        <f>HYPERLINK("Not Found")</f>
        <v/>
      </c>
      <c r="L567">
        <f>HYPERLINK("Not Found")</f>
        <v/>
      </c>
      <c r="M567" t="inlineStr">
        <is>
          <t>United Kingdom</t>
        </is>
      </c>
      <c r="N567" t="inlineStr">
        <is>
          <t>1</t>
        </is>
      </c>
      <c r="O567" t="inlineStr">
        <is>
          <t>Commercial Real Estate</t>
        </is>
      </c>
      <c r="Q567" t="inlineStr">
        <is>
          <t>Not Found</t>
        </is>
      </c>
    </row>
    <row r="568">
      <c r="A568" t="inlineStr">
        <is>
          <t>54ebf9c77468694311221836</t>
        </is>
      </c>
      <c r="B568" t="inlineStr">
        <is>
          <t>Carl Grint</t>
        </is>
      </c>
      <c r="C568">
        <f>HYPERLINK("http://www.linkedin.com/in/carl-grint-b0b65036")</f>
        <v/>
      </c>
      <c r="D568" t="inlineStr">
        <is>
          <t>Not Found</t>
        </is>
      </c>
      <c r="E568" t="inlineStr">
        <is>
          <t>Partner and Head of Property Asset Management</t>
        </is>
      </c>
      <c r="F568">
        <f>HYPERLINK("https://app.apollo.io/#/people/54ebf9c77468694311221836")</f>
        <v/>
      </c>
      <c r="G568" t="inlineStr">
        <is>
          <t>Vail Williams</t>
        </is>
      </c>
      <c r="H568">
        <f>HYPERLINK("https://app.apollo.io/#/accounts/6578bf02ccf69c02cc54f0ad")</f>
        <v/>
      </c>
      <c r="I568">
        <f>HYPERLINK("http://www.vailwilliams.com/")</f>
        <v/>
      </c>
      <c r="J568">
        <f>HYPERLINK("http://www.linkedin.com/company/vail-williams")</f>
        <v/>
      </c>
      <c r="K568">
        <f>HYPERLINK("https://twitter.com/vailwilliams")</f>
        <v/>
      </c>
      <c r="L568">
        <f>HYPERLINK("https://www.facebook.com/vailwilliams")</f>
        <v/>
      </c>
      <c r="M568" t="inlineStr">
        <is>
          <t>Reading, United Kingdom</t>
        </is>
      </c>
      <c r="N568" t="inlineStr">
        <is>
          <t>200</t>
        </is>
      </c>
      <c r="O568" t="inlineStr">
        <is>
          <t>Commercial Real Estate</t>
        </is>
      </c>
      <c r="P568" t="inlineStr">
        <is>
          <t>real estate,real estate agents</t>
        </is>
      </c>
      <c r="Q568" t="inlineStr">
        <is>
          <t>Not Found</t>
        </is>
      </c>
    </row>
    <row r="569">
      <c r="A569" t="inlineStr">
        <is>
          <t>60867e4634cac10001cc2a1f</t>
        </is>
      </c>
      <c r="B569" t="inlineStr">
        <is>
          <t>Evan Benway</t>
        </is>
      </c>
      <c r="C569">
        <f>HYPERLINK("http://www.linkedin.com/in/evanbenway")</f>
        <v/>
      </c>
      <c r="D569" t="inlineStr">
        <is>
          <t>Not Found</t>
        </is>
      </c>
      <c r="E569" t="inlineStr">
        <is>
          <t>Managing Director</t>
        </is>
      </c>
      <c r="F569">
        <f>HYPERLINK("https://app.apollo.io/#/people/60867e4634cac10001cc2a1f")</f>
        <v/>
      </c>
      <c r="G569" t="inlineStr">
        <is>
          <t>Moodsonic</t>
        </is>
      </c>
      <c r="H569">
        <f>HYPERLINK("https://app.apollo.io/#/organizations/5e574a4d3f150700016bf579")</f>
        <v/>
      </c>
      <c r="I569">
        <f>HYPERLINK("http://www.moodsonic.com/")</f>
        <v/>
      </c>
      <c r="J569">
        <f>HYPERLINK("http://www.linkedin.com/company/moodsonic")</f>
        <v/>
      </c>
      <c r="K569">
        <f>HYPERLINK("https://twitter.com/juliantreasure")</f>
        <v/>
      </c>
      <c r="L569">
        <f>HYPERLINK("Not Found")</f>
        <v/>
      </c>
      <c r="M569" t="inlineStr">
        <is>
          <t>United Kingdom</t>
        </is>
      </c>
      <c r="N569" t="inlineStr">
        <is>
          <t>11</t>
        </is>
      </c>
      <c r="O569" t="inlineStr">
        <is>
          <t>Commercial Real Estate</t>
        </is>
      </c>
      <c r="P569" t="inlineStr">
        <is>
          <t>biophilic soundscapes,workplace design,sound</t>
        </is>
      </c>
      <c r="Q569" t="inlineStr">
        <is>
          <t>Not Found</t>
        </is>
      </c>
    </row>
    <row r="570">
      <c r="A570" t="inlineStr">
        <is>
          <t>54a75b6f746869730adb532d</t>
        </is>
      </c>
      <c r="B570" t="inlineStr">
        <is>
          <t>Adam Coffer</t>
        </is>
      </c>
      <c r="C570">
        <f>HYPERLINK("http://www.linkedin.com/in/adam-coffer-01b75a25")</f>
        <v/>
      </c>
      <c r="D570" t="inlineStr">
        <is>
          <t>Not Found</t>
        </is>
      </c>
      <c r="E570" t="inlineStr">
        <is>
          <t>Managing Director</t>
        </is>
      </c>
      <c r="F570">
        <f>HYPERLINK("https://app.apollo.io/#/people/54a75b6f746869730adb532d")</f>
        <v/>
      </c>
      <c r="G570" t="inlineStr">
        <is>
          <t>EPF Investments</t>
        </is>
      </c>
      <c r="H570">
        <f>HYPERLINK("https://app.apollo.io/#/organizations/5e5606b88ee16e00019ce7ca")</f>
        <v/>
      </c>
      <c r="I570">
        <f>HYPERLINK("http://www.epfgroup.com/")</f>
        <v/>
      </c>
      <c r="J570">
        <f>HYPERLINK("http://www.linkedin.com/company/epf-group")</f>
        <v/>
      </c>
      <c r="K570">
        <f>HYPERLINK("Not Found")</f>
        <v/>
      </c>
      <c r="L570">
        <f>HYPERLINK("Not Found")</f>
        <v/>
      </c>
      <c r="M570" t="inlineStr">
        <is>
          <t>London, United Kingdom</t>
        </is>
      </c>
      <c r="N570" t="inlineStr">
        <is>
          <t>5</t>
        </is>
      </c>
      <c r="O570" t="inlineStr">
        <is>
          <t>Commercial Real Estate</t>
        </is>
      </c>
      <c r="P570" t="inlineStr">
        <is>
          <t>commercial real estate,leisure,property,retail</t>
        </is>
      </c>
      <c r="Q570" t="inlineStr">
        <is>
          <t>Not Found</t>
        </is>
      </c>
    </row>
    <row r="571">
      <c r="A571" t="inlineStr">
        <is>
          <t>54a3127c7468693cdd215552</t>
        </is>
      </c>
      <c r="B571" t="inlineStr">
        <is>
          <t>Richard Dalby</t>
        </is>
      </c>
      <c r="C571">
        <f>HYPERLINK("http://www.linkedin.com/in/richard-dalby-b4a19624")</f>
        <v/>
      </c>
      <c r="D571" t="inlineStr">
        <is>
          <t>Not Found</t>
        </is>
      </c>
      <c r="E571" t="inlineStr">
        <is>
          <t>Director</t>
        </is>
      </c>
      <c r="F571">
        <f>HYPERLINK("https://app.apollo.io/#/people/54a3127c7468693cdd215552")</f>
        <v/>
      </c>
      <c r="G571" t="inlineStr">
        <is>
          <t>Richard Dalby Chartered Surveyors</t>
        </is>
      </c>
      <c r="H571">
        <f>HYPERLINK("https://app.apollo.io/#/organizations/5592019e7369641927b81500")</f>
        <v/>
      </c>
      <c r="I571">
        <f>HYPERLINK("http://www.sinclairdalby.co.uk/")</f>
        <v/>
      </c>
      <c r="J571">
        <f>HYPERLINK("http://www.linkedin.com/company/richard-dalby-chartered-surveyors")</f>
        <v/>
      </c>
      <c r="K571">
        <f>HYPERLINK("Not Found")</f>
        <v/>
      </c>
      <c r="L571">
        <f>HYPERLINK("Not Found")</f>
        <v/>
      </c>
      <c r="M571" t="inlineStr">
        <is>
          <t>Swindon, United Kingdom</t>
        </is>
      </c>
      <c r="N571" t="inlineStr">
        <is>
          <t>1</t>
        </is>
      </c>
      <c r="O571" t="inlineStr">
        <is>
          <t>Commercial Real Estate</t>
        </is>
      </c>
      <c r="Q571" t="inlineStr">
        <is>
          <t>Not Found</t>
        </is>
      </c>
    </row>
    <row r="572">
      <c r="A572" t="inlineStr">
        <is>
          <t>5c4916b5f6512511996b6f72</t>
        </is>
      </c>
      <c r="B572" t="inlineStr">
        <is>
          <t>Paul Hale</t>
        </is>
      </c>
      <c r="C572">
        <f>HYPERLINK("http://www.linkedin.com/in/paul-hale-8791aba3")</f>
        <v/>
      </c>
      <c r="D572" t="inlineStr">
        <is>
          <t>Not Found</t>
        </is>
      </c>
      <c r="E572" t="inlineStr">
        <is>
          <t>Director</t>
        </is>
      </c>
      <c r="F572">
        <f>HYPERLINK("https://app.apollo.io/#/people/5c4916b5f6512511996b6f72")</f>
        <v/>
      </c>
      <c r="G572" t="inlineStr">
        <is>
          <t>Colliers</t>
        </is>
      </c>
      <c r="H572">
        <f>HYPERLINK("https://app.apollo.io/#/accounts/64aaf6c63d556a0001e8eda6")</f>
        <v/>
      </c>
      <c r="I572">
        <f>HYPERLINK("http://www.colliers.com/")</f>
        <v/>
      </c>
      <c r="J572">
        <f>HYPERLINK("http://www.linkedin.com/company/colliers")</f>
        <v/>
      </c>
      <c r="K572">
        <f>HYPERLINK("https://twitter.com/Colliers")</f>
        <v/>
      </c>
      <c r="L572">
        <f>HYPERLINK("https://facebook.com/colliersinternational/")</f>
        <v/>
      </c>
      <c r="M572" t="inlineStr">
        <is>
          <t>United Kingdom</t>
        </is>
      </c>
      <c r="N572" t="inlineStr">
        <is>
          <t>25,000</t>
        </is>
      </c>
      <c r="O572" t="inlineStr">
        <is>
          <t>Commercial Real Estate</t>
        </is>
      </c>
      <c r="P572" t="inlineStr">
        <is>
          <t>brokerage &amp; agency,corporate solutions,investment services</t>
        </is>
      </c>
      <c r="Q572" t="inlineStr">
        <is>
          <t>Not Found</t>
        </is>
      </c>
    </row>
    <row r="573">
      <c r="A573" t="inlineStr">
        <is>
          <t>5e8470f2f83d2a0001cb77cc</t>
        </is>
      </c>
      <c r="B573" t="inlineStr">
        <is>
          <t>Martin Richardson</t>
        </is>
      </c>
      <c r="C573">
        <f>HYPERLINK("http://www.linkedin.com/in/martin-richardson-6b9a34169")</f>
        <v/>
      </c>
      <c r="D573" t="inlineStr">
        <is>
          <t>Not Found</t>
        </is>
      </c>
      <c r="E573" t="inlineStr">
        <is>
          <t>Regional Director</t>
        </is>
      </c>
      <c r="F573">
        <f>HYPERLINK("https://app.apollo.io/#/people/5e8470f2f83d2a0001cb77cc")</f>
        <v/>
      </c>
      <c r="G573" t="inlineStr">
        <is>
          <t>Swan Business Brokers</t>
        </is>
      </c>
      <c r="H573">
        <f>HYPERLINK("https://app.apollo.io/#/organizations/5ed4e1a841526a00012f8272")</f>
        <v/>
      </c>
      <c r="I573">
        <f>HYPERLINK("http://www.swanbusinessbrokers.co.uk/")</f>
        <v/>
      </c>
      <c r="J573">
        <f>HYPERLINK("http://www.linkedin.com/company/swan-business-brokers")</f>
        <v/>
      </c>
      <c r="K573">
        <f>HYPERLINK("Not Found")</f>
        <v/>
      </c>
      <c r="L573">
        <f>HYPERLINK("Not Found")</f>
        <v/>
      </c>
      <c r="M573" t="inlineStr">
        <is>
          <t>Leeds, United Kingdom</t>
        </is>
      </c>
      <c r="N573" t="inlineStr">
        <is>
          <t>3</t>
        </is>
      </c>
      <c r="O573" t="inlineStr">
        <is>
          <t>Commercial Real Estate</t>
        </is>
      </c>
      <c r="P573" t="inlineStr">
        <is>
          <t>project management,business valuations</t>
        </is>
      </c>
      <c r="Q573" t="inlineStr">
        <is>
          <t>Not Found</t>
        </is>
      </c>
    </row>
    <row r="574">
      <c r="A574" t="inlineStr">
        <is>
          <t>54a2468874686935beaa0e1c</t>
        </is>
      </c>
      <c r="B574" t="inlineStr">
        <is>
          <t>Richard Correia</t>
        </is>
      </c>
      <c r="C574">
        <f>HYPERLINK("http://www.linkedin.com/in/richard-correia-56a3699")</f>
        <v/>
      </c>
      <c r="D574" t="inlineStr">
        <is>
          <t>Not Found</t>
        </is>
      </c>
      <c r="E574" t="inlineStr">
        <is>
          <t>Executive Vice President</t>
        </is>
      </c>
      <c r="F574">
        <f>HYPERLINK("https://app.apollo.io/#/people/54a2468874686935beaa0e1c")</f>
        <v/>
      </c>
      <c r="G574" t="inlineStr">
        <is>
          <t>RM Bradley</t>
        </is>
      </c>
      <c r="H574">
        <f>HYPERLINK("https://app.apollo.io/#/organizations/54a1227e69702d8aa1c20c03")</f>
        <v/>
      </c>
      <c r="I574">
        <f>HYPERLINK("http://www.rmbradley.com/")</f>
        <v/>
      </c>
      <c r="J574">
        <f>HYPERLINK("http://www.linkedin.com/company/rm-bradley")</f>
        <v/>
      </c>
      <c r="K574">
        <f>HYPERLINK("Not Found")</f>
        <v/>
      </c>
      <c r="L574">
        <f>HYPERLINK("https://facebook.com/RMBradleyCo")</f>
        <v/>
      </c>
      <c r="M574" t="inlineStr">
        <is>
          <t>London, United Kingdom</t>
        </is>
      </c>
      <c r="N574" t="inlineStr">
        <is>
          <t>39</t>
        </is>
      </c>
      <c r="O574" t="inlineStr">
        <is>
          <t>Commercial Real Estate</t>
        </is>
      </c>
      <c r="P574" t="inlineStr">
        <is>
          <t>commercial real estate,property management</t>
        </is>
      </c>
      <c r="Q574" t="inlineStr">
        <is>
          <t>Not Found</t>
        </is>
      </c>
    </row>
    <row r="575">
      <c r="A575" t="inlineStr">
        <is>
          <t>5f4f538e17ecff00016446af</t>
        </is>
      </c>
      <c r="B575" t="inlineStr">
        <is>
          <t>Keeley Chapman</t>
        </is>
      </c>
      <c r="C575">
        <f>HYPERLINK("http://www.linkedin.com/in/keeley-chapman-2839aa182")</f>
        <v/>
      </c>
      <c r="D575" t="inlineStr">
        <is>
          <t>Not Found</t>
        </is>
      </c>
      <c r="E575" t="inlineStr">
        <is>
          <t>Director</t>
        </is>
      </c>
      <c r="F575">
        <f>HYPERLINK("https://app.apollo.io/#/people/5f4f538e17ecff00016446af")</f>
        <v/>
      </c>
      <c r="G575" t="inlineStr">
        <is>
          <t>Chapman Chartered Surveyors</t>
        </is>
      </c>
      <c r="H575">
        <f>HYPERLINK("https://app.apollo.io/#/organizations/55922e1a73696418d2b5b400")</f>
        <v/>
      </c>
      <c r="I575">
        <f>HYPERLINK("http://www.chapman.im/")</f>
        <v/>
      </c>
      <c r="J575">
        <f>HYPERLINK("http://www.linkedin.com/company/chapmancommercialrealestate")</f>
        <v/>
      </c>
      <c r="K575">
        <f>HYPERLINK("Not Found")</f>
        <v/>
      </c>
      <c r="L575">
        <f>HYPERLINK("Not Found")</f>
        <v/>
      </c>
      <c r="M575" t="inlineStr">
        <is>
          <t>Ipswich, United Kingdom</t>
        </is>
      </c>
      <c r="N575" t="inlineStr">
        <is>
          <t>1</t>
        </is>
      </c>
      <c r="O575" t="inlineStr">
        <is>
          <t>Commercial Real Estate</t>
        </is>
      </c>
      <c r="P575" t="inlineStr">
        <is>
          <t>isle of man investments,commercial agency</t>
        </is>
      </c>
      <c r="Q575" t="inlineStr">
        <is>
          <t>Not Found</t>
        </is>
      </c>
    </row>
    <row r="576">
      <c r="A576" t="inlineStr">
        <is>
          <t>5570972b7369642606a27400</t>
        </is>
      </c>
      <c r="B576" t="inlineStr">
        <is>
          <t>Mark Barnwell</t>
        </is>
      </c>
      <c r="C576">
        <f>HYPERLINK("http://www.linkedin.com/in/mark-barnwell-9876004b")</f>
        <v/>
      </c>
      <c r="D576" t="inlineStr">
        <is>
          <t>Not Found</t>
        </is>
      </c>
      <c r="E576" t="inlineStr">
        <is>
          <t>Director</t>
        </is>
      </c>
      <c r="F576">
        <f>HYPERLINK("https://app.apollo.io/#/people/5570972b7369642606a27400")</f>
        <v/>
      </c>
      <c r="G576" t="inlineStr">
        <is>
          <t>First Alliance Properties</t>
        </is>
      </c>
      <c r="H576">
        <f>HYPERLINK("https://app.apollo.io/#/organizations/54a1bb777468694012af370c")</f>
        <v/>
      </c>
      <c r="I576">
        <f>HYPERLINK("http://www.firstap.co.uk/")</f>
        <v/>
      </c>
      <c r="J576">
        <f>HYPERLINK("http://www.linkedin.com/company/first-alliance-properties")</f>
        <v/>
      </c>
      <c r="K576">
        <f>HYPERLINK("Not Found")</f>
        <v/>
      </c>
      <c r="L576">
        <f>HYPERLINK("Not Found")</f>
        <v/>
      </c>
      <c r="M576" t="inlineStr">
        <is>
          <t>London, United Kingdom</t>
        </is>
      </c>
      <c r="N576" t="inlineStr">
        <is>
          <t>4</t>
        </is>
      </c>
      <c r="O576" t="inlineStr">
        <is>
          <t>Commercial Real Estate</t>
        </is>
      </c>
      <c r="P576" t="inlineStr">
        <is>
          <t>property development,asset management</t>
        </is>
      </c>
      <c r="Q576" t="inlineStr">
        <is>
          <t>Not Found</t>
        </is>
      </c>
    </row>
    <row r="577">
      <c r="A577" t="inlineStr">
        <is>
          <t>60cd56215f25cc00012aac34</t>
        </is>
      </c>
      <c r="B577" t="inlineStr">
        <is>
          <t>Henry Chapman</t>
        </is>
      </c>
      <c r="C577">
        <f>HYPERLINK("http://www.linkedin.com/in/henry-chapman-459b74165")</f>
        <v/>
      </c>
      <c r="D577" t="inlineStr">
        <is>
          <t>Not Found</t>
        </is>
      </c>
      <c r="E577" t="inlineStr">
        <is>
          <t>Director</t>
        </is>
      </c>
      <c r="F577">
        <f>HYPERLINK("https://app.apollo.io/#/people/60cd56215f25cc00012aac34")</f>
        <v/>
      </c>
      <c r="G577" t="inlineStr">
        <is>
          <t>Tritax Symmetry</t>
        </is>
      </c>
      <c r="H577">
        <f>HYPERLINK("https://app.apollo.io/#/organizations/5a9ccacea6da98d96d7ec351")</f>
        <v/>
      </c>
      <c r="I577">
        <f>HYPERLINK("http://www.tritaxsymmetry.com/")</f>
        <v/>
      </c>
      <c r="J577">
        <f>HYPERLINK("http://www.linkedin.com/company/tritaxsymmetry")</f>
        <v/>
      </c>
      <c r="K577">
        <f>HYPERLINK("https://twitter.com/tritaxsymmetry")</f>
        <v/>
      </c>
      <c r="L577">
        <f>HYPERLINK("Not Found")</f>
        <v/>
      </c>
      <c r="M577" t="inlineStr">
        <is>
          <t>Northampton, United Kingdom</t>
        </is>
      </c>
      <c r="N577" t="inlineStr">
        <is>
          <t>40</t>
        </is>
      </c>
      <c r="O577" t="inlineStr">
        <is>
          <t>Commercial Real Estate</t>
        </is>
      </c>
      <c r="P577" t="inlineStr">
        <is>
          <t>industrial warehouse units,bespoke buildings</t>
        </is>
      </c>
      <c r="Q577" t="inlineStr">
        <is>
          <t>Not Found</t>
        </is>
      </c>
    </row>
    <row r="578">
      <c r="A578" t="inlineStr">
        <is>
          <t>54c164ba7468691639cbcb05</t>
        </is>
      </c>
      <c r="B578" t="inlineStr">
        <is>
          <t>Shabnum Zeb</t>
        </is>
      </c>
      <c r="C578">
        <f>HYPERLINK("http://www.linkedin.com/in/shabnum-zeb-99514444")</f>
        <v/>
      </c>
      <c r="D578" t="inlineStr">
        <is>
          <t>Not Found</t>
        </is>
      </c>
      <c r="E578" t="inlineStr">
        <is>
          <t>Director</t>
        </is>
      </c>
      <c r="F578">
        <f>HYPERLINK("https://app.apollo.io/#/people/54c164ba7468691639cbcb05")</f>
        <v/>
      </c>
      <c r="G578" t="inlineStr">
        <is>
          <t>CTP</t>
        </is>
      </c>
      <c r="H578">
        <f>HYPERLINK("https://app.apollo.io/#/organizations/6049f002f9f13f0001fdac94")</f>
        <v/>
      </c>
      <c r="I578">
        <f>HYPERLINK("http://www.ctp.eu/")</f>
        <v/>
      </c>
      <c r="J578">
        <f>HYPERLINK("http://www.linkedin.com/company/ctp-invest")</f>
        <v/>
      </c>
      <c r="K578">
        <f>HYPERLINK("https://twitter.com/CTPInvest")</f>
        <v/>
      </c>
      <c r="L578">
        <f>HYPERLINK("https://www.facebook.com/CTPparkmakers/")</f>
        <v/>
      </c>
      <c r="M578" t="inlineStr">
        <is>
          <t>United Kingdom</t>
        </is>
      </c>
      <c r="N578" t="inlineStr">
        <is>
          <t>770</t>
        </is>
      </c>
      <c r="O578" t="inlineStr">
        <is>
          <t>Commercial Real Estate</t>
        </is>
      </c>
      <c r="P578" t="inlineStr">
        <is>
          <t>real estate,construction,property management</t>
        </is>
      </c>
      <c r="Q578" t="inlineStr">
        <is>
          <t>Not Found</t>
        </is>
      </c>
    </row>
    <row r="579">
      <c r="A579" t="inlineStr">
        <is>
          <t>5e80ddcf0cca4300011a9acc</t>
        </is>
      </c>
      <c r="B579" t="inlineStr">
        <is>
          <t>Irina Fraydl</t>
        </is>
      </c>
      <c r="C579">
        <f>HYPERLINK("http://www.linkedin.com/in/irina-fraydl-a2009521")</f>
        <v/>
      </c>
      <c r="D579" t="inlineStr">
        <is>
          <t>Not Found</t>
        </is>
      </c>
      <c r="E579" t="inlineStr">
        <is>
          <t>Director</t>
        </is>
      </c>
      <c r="F579">
        <f>HYPERLINK("https://app.apollo.io/#/people/5e80ddcf0cca4300011a9acc")</f>
        <v/>
      </c>
      <c r="G579" t="inlineStr">
        <is>
          <t>Southwark Square</t>
        </is>
      </c>
      <c r="H579">
        <f>HYPERLINK("https://app.apollo.io/#/organizations/559211a473696418c9f94d00")</f>
        <v/>
      </c>
      <c r="I579">
        <f>HYPERLINK("http://www.southwarksquare.com/")</f>
        <v/>
      </c>
      <c r="J579">
        <f>HYPERLINK("http://www.linkedin.com/company/southwark-square-limited")</f>
        <v/>
      </c>
      <c r="K579">
        <f>HYPERLINK("Not Found")</f>
        <v/>
      </c>
      <c r="L579">
        <f>HYPERLINK("Not Found")</f>
        <v/>
      </c>
      <c r="M579" t="inlineStr">
        <is>
          <t>London, United Kingdom</t>
        </is>
      </c>
      <c r="N579" t="inlineStr">
        <is>
          <t>8</t>
        </is>
      </c>
      <c r="O579" t="inlineStr">
        <is>
          <t>Commercial Real Estate</t>
        </is>
      </c>
      <c r="P579" t="inlineStr">
        <is>
          <t>property management,commercial real estate</t>
        </is>
      </c>
      <c r="Q579" t="inlineStr">
        <is>
          <t>Not Found</t>
        </is>
      </c>
    </row>
    <row r="580">
      <c r="A580" t="inlineStr">
        <is>
          <t>54a278dc7468693a7e9c6d25</t>
        </is>
      </c>
      <c r="B580" t="inlineStr">
        <is>
          <t>Ian Boxall</t>
        </is>
      </c>
      <c r="C580">
        <f>HYPERLINK("http://www.linkedin.com/in/ian-boxall-6aa56113")</f>
        <v/>
      </c>
      <c r="D580" t="inlineStr">
        <is>
          <t>Not Found</t>
        </is>
      </c>
      <c r="E580" t="inlineStr">
        <is>
          <t>Director</t>
        </is>
      </c>
      <c r="F580">
        <f>HYPERLINK("https://app.apollo.io/#/people/54a278dc7468693a7e9c6d25")</f>
        <v/>
      </c>
      <c r="G580" t="inlineStr">
        <is>
          <t>Colliers</t>
        </is>
      </c>
      <c r="H580">
        <f>HYPERLINK("https://app.apollo.io/#/accounts/64aaf6c63d556a0001e8eda6")</f>
        <v/>
      </c>
      <c r="I580">
        <f>HYPERLINK("http://www.colliers.com/")</f>
        <v/>
      </c>
      <c r="J580">
        <f>HYPERLINK("http://www.linkedin.com/company/colliers")</f>
        <v/>
      </c>
      <c r="K580">
        <f>HYPERLINK("https://twitter.com/Colliers")</f>
        <v/>
      </c>
      <c r="L580">
        <f>HYPERLINK("https://facebook.com/colliersinternational/")</f>
        <v/>
      </c>
      <c r="M580" t="inlineStr">
        <is>
          <t>Glasgow, United Kingdom</t>
        </is>
      </c>
      <c r="N580" t="inlineStr">
        <is>
          <t>25,000</t>
        </is>
      </c>
      <c r="O580" t="inlineStr">
        <is>
          <t>Commercial Real Estate</t>
        </is>
      </c>
      <c r="P580" t="inlineStr">
        <is>
          <t>brokerage &amp; agency,corporate solutions,investment services</t>
        </is>
      </c>
      <c r="Q580" t="inlineStr">
        <is>
          <t>Not Found</t>
        </is>
      </c>
    </row>
    <row r="581">
      <c r="A581" t="inlineStr">
        <is>
          <t>54a5cde6746869344219a5a9</t>
        </is>
      </c>
      <c r="B581" t="inlineStr">
        <is>
          <t>Louis Harding</t>
        </is>
      </c>
      <c r="C581">
        <f>HYPERLINK("http://www.linkedin.com/in/louis-harding-14874214")</f>
        <v/>
      </c>
      <c r="D581" t="inlineStr">
        <is>
          <t>Not Found</t>
        </is>
      </c>
      <c r="E581" t="inlineStr">
        <is>
          <t>Managing Director</t>
        </is>
      </c>
      <c r="F581">
        <f>HYPERLINK("https://app.apollo.io/#/people/54a5cde6746869344219a5a9")</f>
        <v/>
      </c>
      <c r="G581" t="inlineStr">
        <is>
          <t>Betterhomes</t>
        </is>
      </c>
      <c r="H581">
        <f>HYPERLINK("https://app.apollo.io/#/organizations/5dde1bb0ff225c00985d005c")</f>
        <v/>
      </c>
      <c r="I581">
        <f>HYPERLINK("http://www.bhomes.com/")</f>
        <v/>
      </c>
      <c r="J581">
        <f>HYPERLINK("http://www.linkedin.com/company/better-homes-llc")</f>
        <v/>
      </c>
      <c r="K581">
        <f>HYPERLINK("https://twitter.com/betterhomesuae")</f>
        <v/>
      </c>
      <c r="L581">
        <f>HYPERLINK("https://facebook.com/betterhomesuae")</f>
        <v/>
      </c>
      <c r="M581" t="inlineStr">
        <is>
          <t>London, United Kingdom</t>
        </is>
      </c>
      <c r="N581" t="inlineStr">
        <is>
          <t>940</t>
        </is>
      </c>
      <c r="O581" t="inlineStr">
        <is>
          <t>Commercial Real Estate</t>
        </is>
      </c>
      <c r="P581" t="inlineStr">
        <is>
          <t>real estate,commercial real estate,residential real estate</t>
        </is>
      </c>
      <c r="Q581" t="inlineStr">
        <is>
          <t>Not Found</t>
        </is>
      </c>
    </row>
    <row r="582">
      <c r="A582" t="inlineStr">
        <is>
          <t>57db99e6a6da986863071510</t>
        </is>
      </c>
      <c r="B582" t="inlineStr">
        <is>
          <t>Liam Prickett</t>
        </is>
      </c>
      <c r="C582">
        <f>HYPERLINK("http://www.linkedin.com/in/liam-prickett-mrics-44525893")</f>
        <v/>
      </c>
      <c r="D582" t="inlineStr">
        <is>
          <t>Not Found</t>
        </is>
      </c>
      <c r="E582" t="inlineStr">
        <is>
          <t>Associate Director</t>
        </is>
      </c>
      <c r="F582">
        <f>HYPERLINK("https://app.apollo.io/#/people/57db99e6a6da986863071510")</f>
        <v/>
      </c>
      <c r="G582" t="inlineStr">
        <is>
          <t>Colliers</t>
        </is>
      </c>
      <c r="H582">
        <f>HYPERLINK("https://app.apollo.io/#/accounts/64aaf6c63d556a0001e8eda6")</f>
        <v/>
      </c>
      <c r="I582">
        <f>HYPERLINK("http://www.colliers.com/")</f>
        <v/>
      </c>
      <c r="J582">
        <f>HYPERLINK("http://www.linkedin.com/company/colliers")</f>
        <v/>
      </c>
      <c r="K582">
        <f>HYPERLINK("https://twitter.com/Colliers")</f>
        <v/>
      </c>
      <c r="L582">
        <f>HYPERLINK("https://facebook.com/colliersinternational/")</f>
        <v/>
      </c>
      <c r="M582" t="inlineStr">
        <is>
          <t>Hebburn, United Kingdom</t>
        </is>
      </c>
      <c r="N582" t="inlineStr">
        <is>
          <t>25,000</t>
        </is>
      </c>
      <c r="O582" t="inlineStr">
        <is>
          <t>Commercial Real Estate</t>
        </is>
      </c>
      <c r="P582" t="inlineStr">
        <is>
          <t>brokerage &amp; agency,corporate solutions,investment services</t>
        </is>
      </c>
      <c r="Q582" t="inlineStr">
        <is>
          <t>Not Found</t>
        </is>
      </c>
    </row>
    <row r="583">
      <c r="A583" t="inlineStr">
        <is>
          <t>57df3f8fa6da980acde168f7</t>
        </is>
      </c>
      <c r="B583" t="inlineStr">
        <is>
          <t>Nathan Khanverdi</t>
        </is>
      </c>
      <c r="C583">
        <f>HYPERLINK("http://www.linkedin.com/in/nathan-khanverdi-46a7bb99")</f>
        <v/>
      </c>
      <c r="D583" t="inlineStr">
        <is>
          <t>Not Found</t>
        </is>
      </c>
      <c r="E583" t="inlineStr">
        <is>
          <t>Associate Director</t>
        </is>
      </c>
      <c r="F583">
        <f>HYPERLINK("https://app.apollo.io/#/people/57df3f8fa6da980acde168f7")</f>
        <v/>
      </c>
      <c r="G583" t="inlineStr">
        <is>
          <t>Colliers</t>
        </is>
      </c>
      <c r="H583">
        <f>HYPERLINK("https://app.apollo.io/#/accounts/64aaf6c63d556a0001e8eda6")</f>
        <v/>
      </c>
      <c r="I583">
        <f>HYPERLINK("http://www.colliers.com/")</f>
        <v/>
      </c>
      <c r="J583">
        <f>HYPERLINK("http://www.linkedin.com/company/colliers")</f>
        <v/>
      </c>
      <c r="K583">
        <f>HYPERLINK("https://twitter.com/Colliers")</f>
        <v/>
      </c>
      <c r="L583">
        <f>HYPERLINK("https://facebook.com/colliersinternational/")</f>
        <v/>
      </c>
      <c r="M583" t="inlineStr">
        <is>
          <t>Manchester, United Kingdom</t>
        </is>
      </c>
      <c r="N583" t="inlineStr">
        <is>
          <t>25,000</t>
        </is>
      </c>
      <c r="O583" t="inlineStr">
        <is>
          <t>Commercial Real Estate</t>
        </is>
      </c>
      <c r="P583" t="inlineStr">
        <is>
          <t>brokerage &amp; agency,corporate solutions,investment services</t>
        </is>
      </c>
      <c r="Q583" t="inlineStr">
        <is>
          <t>Not Found</t>
        </is>
      </c>
    </row>
    <row r="584">
      <c r="A584" t="inlineStr">
        <is>
          <t>61082ef6ac117c000173e018</t>
        </is>
      </c>
      <c r="B584" t="inlineStr">
        <is>
          <t>Tracey Pollard</t>
        </is>
      </c>
      <c r="C584">
        <f>HYPERLINK("http://www.linkedin.com/in/tracey-pollard-mrics-53000b59")</f>
        <v/>
      </c>
      <c r="D584" t="inlineStr">
        <is>
          <t>Not Found</t>
        </is>
      </c>
      <c r="E584" t="inlineStr">
        <is>
          <t>Managing Director</t>
        </is>
      </c>
      <c r="F584">
        <f>HYPERLINK("https://app.apollo.io/#/people/61082ef6ac117c000173e018")</f>
        <v/>
      </c>
      <c r="G584" t="inlineStr">
        <is>
          <t>Bruce Gillingham Pollard</t>
        </is>
      </c>
      <c r="H584">
        <f>HYPERLINK("https://app.apollo.io/#/organizations/5e5775dc3f9e640001579e2f")</f>
        <v/>
      </c>
      <c r="I584">
        <f>HYPERLINK("http://www.brucegillinghampollard.com/")</f>
        <v/>
      </c>
      <c r="J584">
        <f>HYPERLINK("http://www.linkedin.com/company/bruce-gillingham-pollard")</f>
        <v/>
      </c>
      <c r="K584">
        <f>HYPERLINK("https://twitter.com/BGPtweet")</f>
        <v/>
      </c>
      <c r="L584">
        <f>HYPERLINK("https://facebook.com/pages/Bruce-Gillingham-Pollard/212124998814834")</f>
        <v/>
      </c>
      <c r="M584" t="inlineStr">
        <is>
          <t>London, United Kingdom</t>
        </is>
      </c>
      <c r="N584" t="inlineStr">
        <is>
          <t>30</t>
        </is>
      </c>
      <c r="O584" t="inlineStr">
        <is>
          <t>Commercial Real Estate</t>
        </is>
      </c>
      <c r="P584" t="inlineStr">
        <is>
          <t>retail,property,brokerage,development</t>
        </is>
      </c>
      <c r="Q584" t="inlineStr">
        <is>
          <t>Not Found</t>
        </is>
      </c>
    </row>
    <row r="585">
      <c r="A585" t="inlineStr">
        <is>
          <t>57d4c183a6da98539684bb6c</t>
        </is>
      </c>
      <c r="B585" t="inlineStr">
        <is>
          <t>Jason Page</t>
        </is>
      </c>
      <c r="C585">
        <f>HYPERLINK("http://www.linkedin.com/in/jasonpage001")</f>
        <v/>
      </c>
      <c r="D585" t="inlineStr">
        <is>
          <t>Not Found</t>
        </is>
      </c>
      <c r="E585" t="inlineStr">
        <is>
          <t>Account Director</t>
        </is>
      </c>
      <c r="F585">
        <f>HYPERLINK("https://app.apollo.io/#/people/57d4c183a6da98539684bb6c")</f>
        <v/>
      </c>
      <c r="G585" t="inlineStr">
        <is>
          <t>CBRE Global Workplace Solutions (GWS)</t>
        </is>
      </c>
      <c r="H585">
        <f>HYPERLINK("https://app.apollo.io/#/accounts/6509fed6f449800001b69a15")</f>
        <v/>
      </c>
      <c r="I585">
        <f>HYPERLINK("http://www.coor.com/")</f>
        <v/>
      </c>
      <c r="J585">
        <f>HYPERLINK("http://www.linkedin.com/company/cbre-gws")</f>
        <v/>
      </c>
      <c r="K585">
        <f>HYPERLINK("Not Found")</f>
        <v/>
      </c>
      <c r="L585">
        <f>HYPERLINK("Not Found")</f>
        <v/>
      </c>
      <c r="M585" t="inlineStr">
        <is>
          <t>London, United Kingdom</t>
        </is>
      </c>
      <c r="N585" t="inlineStr">
        <is>
          <t>15,000</t>
        </is>
      </c>
      <c r="O585" t="inlineStr">
        <is>
          <t>Commercial Real Estate</t>
        </is>
      </c>
      <c r="P585" t="inlineStr">
        <is>
          <t>project management,advisory,transaction services</t>
        </is>
      </c>
      <c r="Q585" t="inlineStr">
        <is>
          <t>Not Found</t>
        </is>
      </c>
    </row>
    <row r="586">
      <c r="A586" t="inlineStr">
        <is>
          <t>5f62413969a52600010e91fe</t>
        </is>
      </c>
      <c r="B586" t="inlineStr">
        <is>
          <t>Gordon Miwfm</t>
        </is>
      </c>
      <c r="C586">
        <f>HYPERLINK("http://www.linkedin.com/in/gordon-lindsay-miwfm-8575a221")</f>
        <v/>
      </c>
      <c r="D586" t="inlineStr">
        <is>
          <t>Not Found</t>
        </is>
      </c>
      <c r="E586" t="inlineStr">
        <is>
          <t>Associate Director</t>
        </is>
      </c>
      <c r="F586">
        <f>HYPERLINK("https://app.apollo.io/#/people/5f62413969a52600010e91fe")</f>
        <v/>
      </c>
      <c r="G586" t="inlineStr">
        <is>
          <t>Ashdown Phillips</t>
        </is>
      </c>
      <c r="H586">
        <f>HYPERLINK("https://app.apollo.io/#/organizations/55f7c16bf3e5bb1ca0000d1d")</f>
        <v/>
      </c>
      <c r="I586">
        <f>HYPERLINK("http://www.ashdownphillips.com/")</f>
        <v/>
      </c>
      <c r="J586">
        <f>HYPERLINK("http://www.linkedin.com/company/ashdown-phillips-&amp;-partners-limited")</f>
        <v/>
      </c>
      <c r="K586">
        <f>HYPERLINK("https://twitter.com/AshdownPhillips")</f>
        <v/>
      </c>
      <c r="L586">
        <f>HYPERLINK("Not Found")</f>
        <v/>
      </c>
      <c r="M586" t="inlineStr">
        <is>
          <t>London, United Kingdom</t>
        </is>
      </c>
      <c r="N586" t="inlineStr">
        <is>
          <t>130</t>
        </is>
      </c>
      <c r="O586" t="inlineStr">
        <is>
          <t>Commercial Real Estate</t>
        </is>
      </c>
      <c r="P586" t="inlineStr">
        <is>
          <t>commercial real estate,property management</t>
        </is>
      </c>
      <c r="Q586" t="inlineStr">
        <is>
          <t>Not Found</t>
        </is>
      </c>
    </row>
    <row r="587">
      <c r="A587" t="inlineStr">
        <is>
          <t>5c5f9820a3ae6138b5623c36</t>
        </is>
      </c>
      <c r="B587" t="inlineStr">
        <is>
          <t>Paul Willis</t>
        </is>
      </c>
      <c r="C587">
        <f>HYPERLINK("http://www.linkedin.com/in/paul-willis-5a8273b0")</f>
        <v/>
      </c>
      <c r="D587" t="inlineStr">
        <is>
          <t>Not Found</t>
        </is>
      </c>
      <c r="E587" t="inlineStr">
        <is>
          <t>Director</t>
        </is>
      </c>
      <c r="F587">
        <f>HYPERLINK("https://app.apollo.io/#/people/5c5f9820a3ae6138b5623c36")</f>
        <v/>
      </c>
      <c r="G587" t="inlineStr">
        <is>
          <t>Colliers</t>
        </is>
      </c>
      <c r="H587">
        <f>HYPERLINK("https://app.apollo.io/#/accounts/64aaf6c63d556a0001e8eda6")</f>
        <v/>
      </c>
      <c r="I587">
        <f>HYPERLINK("http://www.colliers.com/")</f>
        <v/>
      </c>
      <c r="J587">
        <f>HYPERLINK("http://www.linkedin.com/company/colliers")</f>
        <v/>
      </c>
      <c r="K587">
        <f>HYPERLINK("https://twitter.com/Colliers")</f>
        <v/>
      </c>
      <c r="L587">
        <f>HYPERLINK("https://facebook.com/colliersinternational/")</f>
        <v/>
      </c>
      <c r="M587" t="inlineStr">
        <is>
          <t>London, United Kingdom</t>
        </is>
      </c>
      <c r="N587" t="inlineStr">
        <is>
          <t>25,000</t>
        </is>
      </c>
      <c r="O587" t="inlineStr">
        <is>
          <t>Commercial Real Estate</t>
        </is>
      </c>
      <c r="P587" t="inlineStr">
        <is>
          <t>brokerage &amp; agency,corporate solutions,investment services</t>
        </is>
      </c>
      <c r="Q587" t="inlineStr">
        <is>
          <t>Not Found</t>
        </is>
      </c>
    </row>
    <row r="588">
      <c r="A588" t="inlineStr">
        <is>
          <t>64ec7ddc1dfccc0001382d64</t>
        </is>
      </c>
      <c r="B588" t="inlineStr">
        <is>
          <t>Shruti Jain</t>
        </is>
      </c>
      <c r="C588">
        <f>HYPERLINK("http://www.linkedin.com/in/winningcustomersismypassion")</f>
        <v/>
      </c>
      <c r="D588" t="inlineStr">
        <is>
          <t>Not Found</t>
        </is>
      </c>
      <c r="E588" t="inlineStr">
        <is>
          <t>Account Director</t>
        </is>
      </c>
      <c r="F588">
        <f>HYPERLINK("https://app.apollo.io/#/people/64ec7ddc1dfccc0001382d64")</f>
        <v/>
      </c>
      <c r="G588" t="inlineStr">
        <is>
          <t>CoStar Group</t>
        </is>
      </c>
      <c r="H588">
        <f>HYPERLINK("https://app.apollo.io/#/accounts/6578be77ccf69c01ae54f373")</f>
        <v/>
      </c>
      <c r="I588">
        <f>HYPERLINK("http://www.costargroup.com/")</f>
        <v/>
      </c>
      <c r="J588">
        <f>HYPERLINK("http://www.linkedin.com/company/costar-group")</f>
        <v/>
      </c>
      <c r="K588">
        <f>HYPERLINK("http://twitter.com/TheCoStarGroup")</f>
        <v/>
      </c>
      <c r="L588">
        <f>HYPERLINK("http://www.facebook.com/CoStarGroup")</f>
        <v/>
      </c>
      <c r="M588" t="inlineStr">
        <is>
          <t>London, United Kingdom</t>
        </is>
      </c>
      <c r="N588" t="inlineStr">
        <is>
          <t>6,300</t>
        </is>
      </c>
      <c r="O588" t="inlineStr">
        <is>
          <t>Commercial Real Estate</t>
        </is>
      </c>
      <c r="P588" t="inlineStr">
        <is>
          <t>information technology,research,marketing</t>
        </is>
      </c>
      <c r="Q588" t="inlineStr">
        <is>
          <t>Not Found</t>
        </is>
      </c>
    </row>
    <row r="589">
      <c r="A589" t="inlineStr">
        <is>
          <t>6103428d153fa80001df1f15</t>
        </is>
      </c>
      <c r="B589" t="inlineStr">
        <is>
          <t>Emma Downey</t>
        </is>
      </c>
      <c r="C589">
        <f>HYPERLINK("http://www.linkedin.com/in/emma-downey-55b21162")</f>
        <v/>
      </c>
      <c r="D589" t="inlineStr">
        <is>
          <t>Not Found</t>
        </is>
      </c>
      <c r="E589" t="inlineStr">
        <is>
          <t>Director, Development</t>
        </is>
      </c>
      <c r="F589">
        <f>HYPERLINK("https://app.apollo.io/#/people/6103428d153fa80001df1f15")</f>
        <v/>
      </c>
      <c r="G589" t="inlineStr">
        <is>
          <t>Oxford Properties Group</t>
        </is>
      </c>
      <c r="H589">
        <f>HYPERLINK("https://app.apollo.io/#/organizations/54a13c1d69702d267a40c301")</f>
        <v/>
      </c>
      <c r="I589">
        <f>HYPERLINK("http://www.oxfordproperties.com/")</f>
        <v/>
      </c>
      <c r="J589">
        <f>HYPERLINK("http://www.linkedin.com/company/oxford-properties-group")</f>
        <v/>
      </c>
      <c r="K589">
        <f>HYPERLINK("https://twitter.com/oxfordpropgrp")</f>
        <v/>
      </c>
      <c r="L589">
        <f>HYPERLINK("https://facebook.com/Oxford-Properties-Group-144027735748216/")</f>
        <v/>
      </c>
      <c r="M589" t="inlineStr">
        <is>
          <t>England, United Kingdom</t>
        </is>
      </c>
      <c r="N589" t="inlineStr">
        <is>
          <t>1,700</t>
        </is>
      </c>
      <c r="O589" t="inlineStr">
        <is>
          <t>Commercial Real Estate</t>
        </is>
      </c>
      <c r="P589" t="inlineStr">
        <is>
          <t>real estate,development,investment,property management</t>
        </is>
      </c>
      <c r="Q589" t="inlineStr">
        <is>
          <t>Not Found</t>
        </is>
      </c>
    </row>
    <row r="590">
      <c r="A590" t="inlineStr">
        <is>
          <t>54c1cadc7468691639f14e47</t>
        </is>
      </c>
      <c r="B590" t="inlineStr">
        <is>
          <t>Kevin Fairfield</t>
        </is>
      </c>
      <c r="C590">
        <f>HYPERLINK("http://www.linkedin.com/in/kevin-fairfield-60aa2923")</f>
        <v/>
      </c>
      <c r="D590" t="inlineStr">
        <is>
          <t>Not Found</t>
        </is>
      </c>
      <c r="E590" t="inlineStr">
        <is>
          <t>Finance Director</t>
        </is>
      </c>
      <c r="F590">
        <f>HYPERLINK("https://app.apollo.io/#/people/54c1cadc7468691639f14e47")</f>
        <v/>
      </c>
      <c r="G590" t="inlineStr">
        <is>
          <t>CBRE Global Workplace Solutions (GWS)</t>
        </is>
      </c>
      <c r="H590">
        <f>HYPERLINK("https://app.apollo.io/#/accounts/6509fed6f449800001b69a15")</f>
        <v/>
      </c>
      <c r="I590">
        <f>HYPERLINK("http://www.coor.com/")</f>
        <v/>
      </c>
      <c r="J590">
        <f>HYPERLINK("http://www.linkedin.com/company/cbre-gws")</f>
        <v/>
      </c>
      <c r="K590">
        <f>HYPERLINK("Not Found")</f>
        <v/>
      </c>
      <c r="L590">
        <f>HYPERLINK("Not Found")</f>
        <v/>
      </c>
      <c r="M590" t="inlineStr">
        <is>
          <t>London, United Kingdom</t>
        </is>
      </c>
      <c r="N590" t="inlineStr">
        <is>
          <t>15,000</t>
        </is>
      </c>
      <c r="O590" t="inlineStr">
        <is>
          <t>Commercial Real Estate</t>
        </is>
      </c>
      <c r="P590" t="inlineStr">
        <is>
          <t>project management,advisory,transaction services</t>
        </is>
      </c>
      <c r="Q590" t="inlineStr">
        <is>
          <t>Not Found</t>
        </is>
      </c>
    </row>
    <row r="591">
      <c r="A591" t="inlineStr">
        <is>
          <t>54aa65817468690377a5eb03</t>
        </is>
      </c>
      <c r="B591" t="inlineStr">
        <is>
          <t>Andrew Percy</t>
        </is>
      </c>
      <c r="C591">
        <f>HYPERLINK("http://www.linkedin.com/in/andrew-percy-a1550b39")</f>
        <v/>
      </c>
      <c r="D591" t="inlineStr">
        <is>
          <t>Not Found</t>
        </is>
      </c>
      <c r="E591" t="inlineStr">
        <is>
          <t>director</t>
        </is>
      </c>
      <c r="F591">
        <f>HYPERLINK("https://app.apollo.io/#/people/54aa65817468690377a5eb03")</f>
        <v/>
      </c>
      <c r="G591" t="inlineStr">
        <is>
          <t>General Estates</t>
        </is>
      </c>
      <c r="H591">
        <f>HYPERLINK("https://app.apollo.io/#/organizations/5f49f88cf024b1000189616b")</f>
        <v/>
      </c>
      <c r="I591">
        <f>HYPERLINK("http://www.generalestates.in/")</f>
        <v/>
      </c>
      <c r="J591">
        <f>HYPERLINK("http://www.linkedin.com/company/general-estates1")</f>
        <v/>
      </c>
      <c r="K591">
        <f>HYPERLINK("Not Found")</f>
        <v/>
      </c>
      <c r="L591">
        <f>HYPERLINK("Not Found")</f>
        <v/>
      </c>
      <c r="M591" t="inlineStr">
        <is>
          <t>Southampton, United Kingdom</t>
        </is>
      </c>
      <c r="N591" t="inlineStr">
        <is>
          <t>1</t>
        </is>
      </c>
      <c r="O591" t="inlineStr">
        <is>
          <t>Commercial Real Estate</t>
        </is>
      </c>
      <c r="P591" t="inlineStr">
        <is>
          <t>industrial,real estate consultants,commercial</t>
        </is>
      </c>
      <c r="Q591" t="inlineStr">
        <is>
          <t>Not Found</t>
        </is>
      </c>
    </row>
    <row r="592">
      <c r="A592" t="inlineStr">
        <is>
          <t>54a1c3ce74686942d379280f</t>
        </is>
      </c>
      <c r="B592" t="inlineStr">
        <is>
          <t>Ferhin Master</t>
        </is>
      </c>
      <c r="C592">
        <f>HYPERLINK("http://www.linkedin.com/in/ferhin-master-6551178b")</f>
        <v/>
      </c>
      <c r="D592" t="inlineStr">
        <is>
          <t>Not Found</t>
        </is>
      </c>
      <c r="E592" t="inlineStr">
        <is>
          <t>GWS UK Supplier Partner Operations Coordinator</t>
        </is>
      </c>
      <c r="F592">
        <f>HYPERLINK("https://app.apollo.io/#/people/54a1c3ce74686942d379280f")</f>
        <v/>
      </c>
      <c r="G592" t="inlineStr">
        <is>
          <t>CBRE Global Workplace Solutions (GWS)</t>
        </is>
      </c>
      <c r="H592">
        <f>HYPERLINK("https://app.apollo.io/#/accounts/6509fed6f449800001b69a15")</f>
        <v/>
      </c>
      <c r="I592">
        <f>HYPERLINK("http://www.coor.com/")</f>
        <v/>
      </c>
      <c r="J592">
        <f>HYPERLINK("http://www.linkedin.com/company/cbre-gws")</f>
        <v/>
      </c>
      <c r="K592">
        <f>HYPERLINK("Not Found")</f>
        <v/>
      </c>
      <c r="L592">
        <f>HYPERLINK("Not Found")</f>
        <v/>
      </c>
      <c r="M592" t="inlineStr">
        <is>
          <t>London, United Kingdom</t>
        </is>
      </c>
      <c r="N592" t="inlineStr">
        <is>
          <t>15,000</t>
        </is>
      </c>
      <c r="O592" t="inlineStr">
        <is>
          <t>Commercial Real Estate</t>
        </is>
      </c>
      <c r="P592" t="inlineStr">
        <is>
          <t>project management,advisory,transaction services</t>
        </is>
      </c>
      <c r="Q592" t="inlineStr">
        <is>
          <t>Not Found</t>
        </is>
      </c>
    </row>
    <row r="593">
      <c r="A593" t="inlineStr">
        <is>
          <t>61eabdae1fdae0000179c49f</t>
        </is>
      </c>
      <c r="B593" t="inlineStr">
        <is>
          <t>Satakshi Ghosh</t>
        </is>
      </c>
      <c r="C593">
        <f>HYPERLINK("http://www.linkedin.com/in/shatakshighosh")</f>
        <v/>
      </c>
      <c r="D593" t="inlineStr">
        <is>
          <t>Not Found</t>
        </is>
      </c>
      <c r="E593" t="inlineStr">
        <is>
          <t>Product Owner | Digital Innovation and Technology</t>
        </is>
      </c>
      <c r="F593">
        <f>HYPERLINK("https://app.apollo.io/#/people/61eabdae1fdae0000179c49f")</f>
        <v/>
      </c>
      <c r="G593" t="inlineStr">
        <is>
          <t>Derwent London</t>
        </is>
      </c>
      <c r="H593">
        <f>HYPERLINK("https://app.apollo.io/#/organizations/5f4a1ddd9daa4e0001828553")</f>
        <v/>
      </c>
      <c r="I593">
        <f>HYPERLINK("http://www.derwentlondon.com/")</f>
        <v/>
      </c>
      <c r="J593">
        <f>HYPERLINK("http://www.linkedin.com/company/derwentlondon")</f>
        <v/>
      </c>
      <c r="K593">
        <f>HYPERLINK("http://www.twitter.com/derwentlondon")</f>
        <v/>
      </c>
      <c r="L593">
        <f>HYPERLINK("http://www.facebook.com/derwentlondon")</f>
        <v/>
      </c>
      <c r="M593" t="inlineStr">
        <is>
          <t>United Kingdom</t>
        </is>
      </c>
      <c r="N593" t="inlineStr">
        <is>
          <t>210</t>
        </is>
      </c>
      <c r="O593" t="inlineStr">
        <is>
          <t>Commercial Real Estate</t>
        </is>
      </c>
      <c r="P593" t="inlineStr">
        <is>
          <t>commercial real estate</t>
        </is>
      </c>
      <c r="Q593" t="inlineStr">
        <is>
          <t>Not Found</t>
        </is>
      </c>
    </row>
    <row r="594">
      <c r="A594" t="inlineStr">
        <is>
          <t>54ec1b527468694311ae3651</t>
        </is>
      </c>
      <c r="B594" t="inlineStr">
        <is>
          <t>Yvonne Clay</t>
        </is>
      </c>
      <c r="C594">
        <f>HYPERLINK("http://www.linkedin.com/in/yvonne-clay-62707b15")</f>
        <v/>
      </c>
      <c r="D594" t="inlineStr">
        <is>
          <t>Not Found</t>
        </is>
      </c>
      <c r="E594" t="inlineStr">
        <is>
          <t>Centre Director</t>
        </is>
      </c>
      <c r="F594">
        <f>HYPERLINK("https://app.apollo.io/#/people/54ec1b527468694311ae3651")</f>
        <v/>
      </c>
      <c r="G594" t="inlineStr">
        <is>
          <t>Landsec</t>
        </is>
      </c>
      <c r="H594">
        <f>HYPERLINK("https://app.apollo.io/#/accounts/6578b86a75dc3a02ccc995c8")</f>
        <v/>
      </c>
      <c r="I594">
        <f>HYPERLINK("http://www.landsec.com/")</f>
        <v/>
      </c>
      <c r="J594">
        <f>HYPERLINK("http://www.linkedin.com/company/landsec")</f>
        <v/>
      </c>
      <c r="K594">
        <f>HYPERLINK("https://twitter.com/landsecgroup?lang=en")</f>
        <v/>
      </c>
      <c r="L594">
        <f>HYPERLINK("https://facebook.com/pages/category/Real-Estate-Company/Landsec-Group-335042077050643/")</f>
        <v/>
      </c>
      <c r="M594" t="inlineStr">
        <is>
          <t>Chichester, United Kingdom</t>
        </is>
      </c>
      <c r="N594" t="inlineStr">
        <is>
          <t>860</t>
        </is>
      </c>
      <c r="O594" t="inlineStr">
        <is>
          <t>Commercial Real Estate</t>
        </is>
      </c>
      <c r="P594" t="inlineStr">
        <is>
          <t>property investment,management &amp; development</t>
        </is>
      </c>
      <c r="Q594" t="inlineStr">
        <is>
          <t>Not Found</t>
        </is>
      </c>
    </row>
    <row r="595">
      <c r="A595" t="inlineStr">
        <is>
          <t>610d43b7123d46000111a130</t>
        </is>
      </c>
      <c r="B595" t="inlineStr">
        <is>
          <t>Gary Henry</t>
        </is>
      </c>
      <c r="C595">
        <f>HYPERLINK("http://www.linkedin.com/in/gary-henry-a8235835")</f>
        <v/>
      </c>
      <c r="D595" t="inlineStr">
        <is>
          <t>Not Found</t>
        </is>
      </c>
      <c r="E595" t="inlineStr">
        <is>
          <t>Sales Director</t>
        </is>
      </c>
      <c r="F595">
        <f>HYPERLINK("https://app.apollo.io/#/people/610d43b7123d46000111a130")</f>
        <v/>
      </c>
      <c r="G595" t="inlineStr">
        <is>
          <t>Dawsongroup</t>
        </is>
      </c>
      <c r="H595">
        <f>HYPERLINK("https://app.apollo.io/#/accounts/6578bdff73d31601aeef274e")</f>
        <v/>
      </c>
      <c r="I595">
        <f>HYPERLINK("http://www.dawsongroup.co.uk/")</f>
        <v/>
      </c>
      <c r="J595">
        <f>HYPERLINK("http://www.linkedin.com/company/dawsongroup-plc")</f>
        <v/>
      </c>
      <c r="K595">
        <f>HYPERLINK("https://twitter.com/dawsongroupplc")</f>
        <v/>
      </c>
      <c r="L595">
        <f>HYPERLINK("Not Found")</f>
        <v/>
      </c>
      <c r="M595" t="inlineStr">
        <is>
          <t>Stockton-on-Tees, United Kingdom</t>
        </is>
      </c>
      <c r="N595" t="inlineStr">
        <is>
          <t>390</t>
        </is>
      </c>
      <c r="O595" t="inlineStr">
        <is>
          <t>Commercial Real Estate</t>
        </is>
      </c>
      <c r="P595" t="inlineStr">
        <is>
          <t>asset management,rental</t>
        </is>
      </c>
      <c r="Q595" t="inlineStr">
        <is>
          <t>Not Found</t>
        </is>
      </c>
    </row>
    <row r="596">
      <c r="A596" t="inlineStr">
        <is>
          <t>57e16b83a6da987ddc748263</t>
        </is>
      </c>
      <c r="B596" t="inlineStr">
        <is>
          <t>Kieran Cross</t>
        </is>
      </c>
      <c r="C596">
        <f>HYPERLINK("http://www.linkedin.com/in/kieran-cross-352ba7103")</f>
        <v/>
      </c>
      <c r="D596" t="inlineStr">
        <is>
          <t>Not Found</t>
        </is>
      </c>
      <c r="E596" t="inlineStr">
        <is>
          <t>Account Director</t>
        </is>
      </c>
      <c r="F596">
        <f>HYPERLINK("https://app.apollo.io/#/people/57e16b83a6da987ddc748263")</f>
        <v/>
      </c>
      <c r="G596" t="inlineStr">
        <is>
          <t>CBRE Global Workplace Solutions (GWS)</t>
        </is>
      </c>
      <c r="H596">
        <f>HYPERLINK("https://app.apollo.io/#/accounts/6509fed6f449800001b69a15")</f>
        <v/>
      </c>
      <c r="I596">
        <f>HYPERLINK("http://www.coor.com/")</f>
        <v/>
      </c>
      <c r="J596">
        <f>HYPERLINK("http://www.linkedin.com/company/cbre-gws")</f>
        <v/>
      </c>
      <c r="K596">
        <f>HYPERLINK("Not Found")</f>
        <v/>
      </c>
      <c r="L596">
        <f>HYPERLINK("Not Found")</f>
        <v/>
      </c>
      <c r="M596" t="inlineStr">
        <is>
          <t>England, United Kingdom</t>
        </is>
      </c>
      <c r="N596" t="inlineStr">
        <is>
          <t>15,000</t>
        </is>
      </c>
      <c r="O596" t="inlineStr">
        <is>
          <t>Commercial Real Estate</t>
        </is>
      </c>
      <c r="P596" t="inlineStr">
        <is>
          <t>project management,advisory,transaction services</t>
        </is>
      </c>
      <c r="Q596" t="inlineStr">
        <is>
          <t>Not Found</t>
        </is>
      </c>
    </row>
    <row r="597">
      <c r="A597" t="inlineStr">
        <is>
          <t>54a6245e74686932094e97c5</t>
        </is>
      </c>
      <c r="B597" t="inlineStr">
        <is>
          <t>Clive Marcus</t>
        </is>
      </c>
      <c r="C597">
        <f>HYPERLINK("http://www.linkedin.com/in/clive-marcus-06498943")</f>
        <v/>
      </c>
      <c r="D597" t="inlineStr">
        <is>
          <t>Not Found</t>
        </is>
      </c>
      <c r="E597" t="inlineStr">
        <is>
          <t>Company Director</t>
        </is>
      </c>
      <c r="F597">
        <f>HYPERLINK("https://app.apollo.io/#/people/54a6245e74686932094e97c5")</f>
        <v/>
      </c>
      <c r="G597" t="inlineStr">
        <is>
          <t>Trevor Toys Limited</t>
        </is>
      </c>
      <c r="H597">
        <f>HYPERLINK("https://app.apollo.io/#/organizations/5592040b73696418bcf61b00")</f>
        <v/>
      </c>
      <c r="I597">
        <f>HYPERLINK("http://www.trevortoyslimited.co.uk/")</f>
        <v/>
      </c>
      <c r="J597">
        <f>HYPERLINK("http://www.linkedin.com/company/trevor-toys-limited")</f>
        <v/>
      </c>
      <c r="K597">
        <f>HYPERLINK("Not Found")</f>
        <v/>
      </c>
      <c r="L597">
        <f>HYPERLINK("Not Found")</f>
        <v/>
      </c>
      <c r="M597" t="inlineStr">
        <is>
          <t>London, United Kingdom</t>
        </is>
      </c>
      <c r="N597" t="inlineStr">
        <is>
          <t>1</t>
        </is>
      </c>
      <c r="O597" t="inlineStr">
        <is>
          <t>Commercial Real Estate</t>
        </is>
      </c>
      <c r="Q597" t="inlineStr">
        <is>
          <t>Not Found</t>
        </is>
      </c>
    </row>
    <row r="598">
      <c r="A598" t="inlineStr">
        <is>
          <t>54a5542a7468692cf0463c8f</t>
        </is>
      </c>
      <c r="B598" t="inlineStr">
        <is>
          <t>Craig Bristow</t>
        </is>
      </c>
      <c r="C598">
        <f>HYPERLINK("http://www.linkedin.com/in/craig-bristow-a9b84156")</f>
        <v/>
      </c>
      <c r="D598" t="inlineStr">
        <is>
          <t>Not Found</t>
        </is>
      </c>
      <c r="E598" t="inlineStr">
        <is>
          <t>Managing Director</t>
        </is>
      </c>
      <c r="F598">
        <f>HYPERLINK("https://app.apollo.io/#/people/54a5542a7468692cf0463c8f")</f>
        <v/>
      </c>
      <c r="G598" t="inlineStr">
        <is>
          <t>CBRE Global Workplace Solutions (GWS)</t>
        </is>
      </c>
      <c r="H598">
        <f>HYPERLINK("https://app.apollo.io/#/accounts/6509fed6f449800001b69a15")</f>
        <v/>
      </c>
      <c r="I598">
        <f>HYPERLINK("http://www.coor.com/")</f>
        <v/>
      </c>
      <c r="J598">
        <f>HYPERLINK("http://www.linkedin.com/company/cbre-gws")</f>
        <v/>
      </c>
      <c r="K598">
        <f>HYPERLINK("Not Found")</f>
        <v/>
      </c>
      <c r="L598">
        <f>HYPERLINK("Not Found")</f>
        <v/>
      </c>
      <c r="M598" t="inlineStr">
        <is>
          <t>Southend-on-Sea, United Kingdom</t>
        </is>
      </c>
      <c r="N598" t="inlineStr">
        <is>
          <t>15,000</t>
        </is>
      </c>
      <c r="O598" t="inlineStr">
        <is>
          <t>Commercial Real Estate</t>
        </is>
      </c>
      <c r="P598" t="inlineStr">
        <is>
          <t>project management,advisory,transaction services</t>
        </is>
      </c>
      <c r="Q598" t="inlineStr">
        <is>
          <t>Not Found</t>
        </is>
      </c>
    </row>
    <row r="599">
      <c r="A599" t="inlineStr">
        <is>
          <t>6502b7418be7fc00014d1eec</t>
        </is>
      </c>
      <c r="B599" t="inlineStr">
        <is>
          <t>Philip Rowlandson</t>
        </is>
      </c>
      <c r="C599">
        <f>HYPERLINK("http://www.linkedin.com/in/philip-rowlandson-85036085")</f>
        <v/>
      </c>
      <c r="D599" t="inlineStr">
        <is>
          <t>Not Found</t>
        </is>
      </c>
      <c r="E599" t="inlineStr">
        <is>
          <t>Associate Director</t>
        </is>
      </c>
      <c r="F599">
        <f>HYPERLINK("https://app.apollo.io/#/people/6502b7418be7fc00014d1eec")</f>
        <v/>
      </c>
      <c r="G599" t="inlineStr">
        <is>
          <t>Trinovant Surveyors Limited</t>
        </is>
      </c>
      <c r="H599">
        <f>HYPERLINK("https://app.apollo.io/#/accounts/6578c2471823b2065b2f0761")</f>
        <v/>
      </c>
      <c r="I599">
        <f>HYPERLINK("http://www.trinovant.co.uk/")</f>
        <v/>
      </c>
      <c r="J599">
        <f>HYPERLINK("http://www.linkedin.com/company/trinovant-surveyors-limited")</f>
        <v/>
      </c>
      <c r="K599">
        <f>HYPERLINK("Not Found")</f>
        <v/>
      </c>
      <c r="L599">
        <f>HYPERLINK("Not Found")</f>
        <v/>
      </c>
      <c r="M599" t="inlineStr">
        <is>
          <t>England, United Kingdom</t>
        </is>
      </c>
      <c r="N599" t="inlineStr">
        <is>
          <t>6</t>
        </is>
      </c>
      <c r="O599" t="inlineStr">
        <is>
          <t>Commercial Real Estate</t>
        </is>
      </c>
      <c r="P599" t="inlineStr">
        <is>
          <t>contract administration,preacquisition surveys</t>
        </is>
      </c>
      <c r="Q599" t="inlineStr">
        <is>
          <t>Not Found</t>
        </is>
      </c>
    </row>
    <row r="600">
      <c r="A600" t="inlineStr">
        <is>
          <t>5b3987d5a6da98fc341b69e5</t>
        </is>
      </c>
      <c r="B600" t="inlineStr">
        <is>
          <t>Holly Smith</t>
        </is>
      </c>
      <c r="C600">
        <f>HYPERLINK("http://www.linkedin.com/in/holly-smith-2a494838")</f>
        <v/>
      </c>
      <c r="D600" t="inlineStr">
        <is>
          <t>Not Found</t>
        </is>
      </c>
      <c r="E600" t="inlineStr">
        <is>
          <t>Director Environment</t>
        </is>
      </c>
      <c r="F600">
        <f>HYPERLINK("https://app.apollo.io/#/people/5b3987d5a6da98fc341b69e5")</f>
        <v/>
      </c>
      <c r="G600" t="inlineStr">
        <is>
          <t>Harris Lamb</t>
        </is>
      </c>
      <c r="H600">
        <f>HYPERLINK("https://app.apollo.io/#/accounts/6578c3e448f92e01ae97c213")</f>
        <v/>
      </c>
      <c r="I600">
        <f>HYPERLINK("http://www.harrislamb.com/")</f>
        <v/>
      </c>
      <c r="J600">
        <f>HYPERLINK("http://www.linkedin.com/company/harris-lamb")</f>
        <v/>
      </c>
      <c r="K600">
        <f>HYPERLINK("https://twitter.com/harris_lamb")</f>
        <v/>
      </c>
      <c r="L600">
        <f>HYPERLINK("https://www.facebook.com/HarrisLamb")</f>
        <v/>
      </c>
      <c r="M600" t="inlineStr">
        <is>
          <t>United Kingdom</t>
        </is>
      </c>
      <c r="N600" t="inlineStr">
        <is>
          <t>69</t>
        </is>
      </c>
      <c r="O600" t="inlineStr">
        <is>
          <t>Commercial Real Estate</t>
        </is>
      </c>
      <c r="P600" t="inlineStr">
        <is>
          <t>commercial real estate,property consultancy</t>
        </is>
      </c>
      <c r="Q600" t="inlineStr">
        <is>
          <t>Not Found</t>
        </is>
      </c>
    </row>
    <row r="601">
      <c r="A601" t="inlineStr">
        <is>
          <t>54a580f17468692abf394a99</t>
        </is>
      </c>
      <c r="B601" t="inlineStr">
        <is>
          <t>Monique Lopez</t>
        </is>
      </c>
      <c r="C601">
        <f>HYPERLINK("http://www.linkedin.com/in/monique-lopez-27228448")</f>
        <v/>
      </c>
      <c r="D601" t="inlineStr">
        <is>
          <t>Not Found</t>
        </is>
      </c>
      <c r="E601" t="inlineStr">
        <is>
          <t>Partner, Head of UK &amp; Ireland Client Program</t>
        </is>
      </c>
      <c r="F601">
        <f>HYPERLINK("https://app.apollo.io/#/people/54a580f17468692abf394a99")</f>
        <v/>
      </c>
      <c r="G601" t="inlineStr">
        <is>
          <t>Cushman &amp; Wakefield - Formerly DTZ</t>
        </is>
      </c>
      <c r="H601">
        <f>HYPERLINK("https://app.apollo.io/#/accounts/6578bef1ccf69c01ae54f888")</f>
        <v/>
      </c>
      <c r="I601">
        <f>HYPERLINK("http://www.cushwake-ni.com/")</f>
        <v/>
      </c>
      <c r="J601">
        <f>HYPERLINK("http://www.linkedin.com/company/dtz")</f>
        <v/>
      </c>
      <c r="K601">
        <f>HYPERLINK("Not Found")</f>
        <v/>
      </c>
      <c r="L601">
        <f>HYPERLINK("Not Found")</f>
        <v/>
      </c>
      <c r="M601" t="inlineStr">
        <is>
          <t>United Kingdom</t>
        </is>
      </c>
      <c r="N601" t="inlineStr">
        <is>
          <t>3,800</t>
        </is>
      </c>
      <c r="O601" t="inlineStr">
        <is>
          <t>Commercial Real Estate</t>
        </is>
      </c>
      <c r="P601" t="inlineStr">
        <is>
          <t>agency leasing,capital markets,consulting</t>
        </is>
      </c>
      <c r="Q601" t="inlineStr">
        <is>
          <t>Not Found</t>
        </is>
      </c>
    </row>
    <row r="602">
      <c r="A602" t="inlineStr">
        <is>
          <t>64ad7ed32581890001346a9b</t>
        </is>
      </c>
      <c r="B602" t="inlineStr">
        <is>
          <t>Constance Cunningham</t>
        </is>
      </c>
      <c r="C602">
        <f>HYPERLINK("http://www.linkedin.com/in/constancecunningham")</f>
        <v/>
      </c>
      <c r="D602" t="inlineStr">
        <is>
          <t>Not Found</t>
        </is>
      </c>
      <c r="E602" t="inlineStr">
        <is>
          <t>Associate Director</t>
        </is>
      </c>
      <c r="F602">
        <f>HYPERLINK("https://app.apollo.io/#/people/64ad7ed32581890001346a9b")</f>
        <v/>
      </c>
      <c r="G602" t="inlineStr">
        <is>
          <t>BARNES</t>
        </is>
      </c>
      <c r="H602">
        <f>HYPERLINK("https://app.apollo.io/#/organizations/54a11c1b69702d9a8bd08600")</f>
        <v/>
      </c>
      <c r="I602">
        <f>HYPERLINK("http://www.barnes-international.com/")</f>
        <v/>
      </c>
      <c r="J602">
        <f>HYPERLINK("http://www.linkedin.com/company/barnes_realty")</f>
        <v/>
      </c>
      <c r="K602">
        <f>HYPERLINK("https://twitter.com/BarnesImmo")</f>
        <v/>
      </c>
      <c r="L602">
        <f>HYPERLINK("https://www.facebook.com/barnesinternationalrealty")</f>
        <v/>
      </c>
      <c r="M602" t="inlineStr">
        <is>
          <t>United Kingdom</t>
        </is>
      </c>
      <c r="N602" t="inlineStr">
        <is>
          <t>840</t>
        </is>
      </c>
      <c r="O602" t="inlineStr">
        <is>
          <t>Commercial Real Estate</t>
        </is>
      </c>
      <c r="P602" t="inlineStr">
        <is>
          <t>luxury residential real estate,exclusive properties</t>
        </is>
      </c>
      <c r="Q602" t="inlineStr">
        <is>
          <t>Not Found</t>
        </is>
      </c>
    </row>
    <row r="603">
      <c r="A603" t="inlineStr">
        <is>
          <t>54a4c8077468692cf06cf562</t>
        </is>
      </c>
      <c r="B603" t="inlineStr">
        <is>
          <t>Christopher Oswick</t>
        </is>
      </c>
      <c r="C603">
        <f>HYPERLINK("http://www.linkedin.com/in/christopher-oswick-45680729")</f>
        <v/>
      </c>
      <c r="D603" t="inlineStr">
        <is>
          <t>Not Found</t>
        </is>
      </c>
      <c r="E603" t="inlineStr">
        <is>
          <t>Facilities Director</t>
        </is>
      </c>
      <c r="F603">
        <f>HYPERLINK("https://app.apollo.io/#/people/54a4c8077468692cf06cf562")</f>
        <v/>
      </c>
      <c r="G603" t="inlineStr">
        <is>
          <t>Colliers</t>
        </is>
      </c>
      <c r="H603">
        <f>HYPERLINK("https://app.apollo.io/#/accounts/64aaf6c63d556a0001e8eda6")</f>
        <v/>
      </c>
      <c r="I603">
        <f>HYPERLINK("http://www.colliers.com/")</f>
        <v/>
      </c>
      <c r="J603">
        <f>HYPERLINK("http://www.linkedin.com/company/colliers")</f>
        <v/>
      </c>
      <c r="K603">
        <f>HYPERLINK("https://twitter.com/Colliers")</f>
        <v/>
      </c>
      <c r="L603">
        <f>HYPERLINK("https://facebook.com/colliersinternational/")</f>
        <v/>
      </c>
      <c r="M603" t="inlineStr">
        <is>
          <t>London, United Kingdom</t>
        </is>
      </c>
      <c r="N603" t="inlineStr">
        <is>
          <t>25,000</t>
        </is>
      </c>
      <c r="O603" t="inlineStr">
        <is>
          <t>Commercial Real Estate</t>
        </is>
      </c>
      <c r="P603" t="inlineStr">
        <is>
          <t>brokerage &amp; agency,corporate solutions</t>
        </is>
      </c>
      <c r="Q603" t="inlineStr">
        <is>
          <t>Not Found</t>
        </is>
      </c>
    </row>
    <row r="604">
      <c r="A604" t="inlineStr">
        <is>
          <t>54a40a7874686938acc3e927</t>
        </is>
      </c>
      <c r="B604" t="inlineStr">
        <is>
          <t>Wayne Porter</t>
        </is>
      </c>
      <c r="C604">
        <f>HYPERLINK("http://www.linkedin.com/in/wayne-porter-0a2b2513")</f>
        <v/>
      </c>
      <c r="D604" t="inlineStr">
        <is>
          <t>Not Found</t>
        </is>
      </c>
      <c r="E604" t="inlineStr">
        <is>
          <t>Technical Director</t>
        </is>
      </c>
      <c r="F604">
        <f>HYPERLINK("https://app.apollo.io/#/people/54a40a7874686938acc3e927")</f>
        <v/>
      </c>
      <c r="G604" t="inlineStr">
        <is>
          <t>CBRE Global Workplace Solutions (GWS)</t>
        </is>
      </c>
      <c r="H604">
        <f>HYPERLINK("https://app.apollo.io/#/accounts/6509fed6f449800001b69a15")</f>
        <v/>
      </c>
      <c r="I604">
        <f>HYPERLINK("http://www.coor.com/")</f>
        <v/>
      </c>
      <c r="J604">
        <f>HYPERLINK("http://www.linkedin.com/company/cbre-gws")</f>
        <v/>
      </c>
      <c r="K604">
        <f>HYPERLINK("Not Found")</f>
        <v/>
      </c>
      <c r="L604">
        <f>HYPERLINK("Not Found")</f>
        <v/>
      </c>
      <c r="M604" t="inlineStr">
        <is>
          <t>Maidenhead, United Kingdom</t>
        </is>
      </c>
      <c r="N604" t="inlineStr">
        <is>
          <t>15,000</t>
        </is>
      </c>
      <c r="O604" t="inlineStr">
        <is>
          <t>Commercial Real Estate</t>
        </is>
      </c>
      <c r="P604" t="inlineStr">
        <is>
          <t>project management,advisory,transaction services</t>
        </is>
      </c>
      <c r="Q604" t="inlineStr">
        <is>
          <t>Not Found</t>
        </is>
      </c>
    </row>
    <row r="605">
      <c r="A605" t="inlineStr">
        <is>
          <t>625ae67facfeeb00014a5df8</t>
        </is>
      </c>
      <c r="B605" t="inlineStr">
        <is>
          <t>Steve Baker</t>
        </is>
      </c>
      <c r="C605">
        <f>HYPERLINK("http://www.linkedin.com/in/steve-baker-84a43433")</f>
        <v/>
      </c>
      <c r="D605" t="inlineStr">
        <is>
          <t>Not Found</t>
        </is>
      </c>
      <c r="E605" t="inlineStr">
        <is>
          <t>Associate Director</t>
        </is>
      </c>
      <c r="F605">
        <f>HYPERLINK("https://app.apollo.io/#/people/625ae67facfeeb00014a5df8")</f>
        <v/>
      </c>
      <c r="G605" t="inlineStr">
        <is>
          <t>Colliers</t>
        </is>
      </c>
      <c r="H605">
        <f>HYPERLINK("https://app.apollo.io/#/accounts/64aaf6c63d556a0001e8eda6")</f>
        <v/>
      </c>
      <c r="I605">
        <f>HYPERLINK("http://www.colliers.com/")</f>
        <v/>
      </c>
      <c r="J605">
        <f>HYPERLINK("http://www.linkedin.com/company/colliers")</f>
        <v/>
      </c>
      <c r="K605">
        <f>HYPERLINK("https://twitter.com/Colliers")</f>
        <v/>
      </c>
      <c r="L605">
        <f>HYPERLINK("https://facebook.com/colliersinternational/")</f>
        <v/>
      </c>
      <c r="M605" t="inlineStr">
        <is>
          <t>Manchester, United Kingdom</t>
        </is>
      </c>
      <c r="N605" t="inlineStr">
        <is>
          <t>25,000</t>
        </is>
      </c>
      <c r="O605" t="inlineStr">
        <is>
          <t>Commercial Real Estate</t>
        </is>
      </c>
      <c r="P605" t="inlineStr">
        <is>
          <t>brokerage &amp; agency,corporate solutions</t>
        </is>
      </c>
      <c r="Q605" t="inlineStr">
        <is>
          <t>Not Found</t>
        </is>
      </c>
    </row>
    <row r="606">
      <c r="A606" t="inlineStr">
        <is>
          <t>54a79666746869705a3e5e43</t>
        </is>
      </c>
      <c r="B606" t="inlineStr">
        <is>
          <t>Elliott Baker</t>
        </is>
      </c>
      <c r="C606">
        <f>HYPERLINK("http://www.linkedin.com/in/elliott-baker-07523152")</f>
        <v/>
      </c>
      <c r="D606" t="inlineStr">
        <is>
          <t>Not Found</t>
        </is>
      </c>
      <c r="E606" t="inlineStr">
        <is>
          <t>Technical Director</t>
        </is>
      </c>
      <c r="F606">
        <f>HYPERLINK("https://app.apollo.io/#/people/54a79666746869705a3e5e43")</f>
        <v/>
      </c>
      <c r="G606" t="inlineStr">
        <is>
          <t>Allsop &amp; Francis Ltd</t>
        </is>
      </c>
      <c r="H606">
        <f>HYPERLINK("https://app.apollo.io/#/organizations/5e56da500c815a00019a190b")</f>
        <v/>
      </c>
      <c r="I606">
        <f>HYPERLINK("http://www.allsopandfrancis.com/")</f>
        <v/>
      </c>
      <c r="J606">
        <f>HYPERLINK("http://www.linkedin.com/company/allsop-&amp;-francis-ltd")</f>
        <v/>
      </c>
      <c r="K606">
        <f>HYPERLINK("https://twitter.com/allsopfrancis")</f>
        <v/>
      </c>
      <c r="L606">
        <f>HYPERLINK("https://www.facebook.com/AllsopAndFrancis")</f>
        <v/>
      </c>
      <c r="M606" t="inlineStr">
        <is>
          <t>Oxford, United Kingdom</t>
        </is>
      </c>
      <c r="N606" t="inlineStr">
        <is>
          <t>14</t>
        </is>
      </c>
      <c r="O606" t="inlineStr">
        <is>
          <t>Commercial Real Estate</t>
        </is>
      </c>
      <c r="P606" t="inlineStr">
        <is>
          <t>commercial laundry equipment,commercial dishwasher equipment</t>
        </is>
      </c>
      <c r="Q606" t="inlineStr">
        <is>
          <t>Not Found</t>
        </is>
      </c>
    </row>
    <row r="607">
      <c r="A607" t="inlineStr">
        <is>
          <t>54abadec746869332d93f305</t>
        </is>
      </c>
      <c r="B607" t="inlineStr">
        <is>
          <t>Michael Harvey</t>
        </is>
      </c>
      <c r="C607">
        <f>HYPERLINK("http://www.linkedin.com/in/michael-harvey-abb38438")</f>
        <v/>
      </c>
      <c r="D607" t="inlineStr">
        <is>
          <t>Not Found</t>
        </is>
      </c>
      <c r="E607" t="inlineStr">
        <is>
          <t>Account Director</t>
        </is>
      </c>
      <c r="F607">
        <f>HYPERLINK("https://app.apollo.io/#/people/54abadec746869332d93f305")</f>
        <v/>
      </c>
      <c r="G607" t="inlineStr">
        <is>
          <t>CBRE Global Workplace Solutions (GWS)</t>
        </is>
      </c>
      <c r="H607">
        <f>HYPERLINK("https://app.apollo.io/#/accounts/6509fed6f449800001b69a15")</f>
        <v/>
      </c>
      <c r="I607">
        <f>HYPERLINK("http://www.coor.com/")</f>
        <v/>
      </c>
      <c r="J607">
        <f>HYPERLINK("http://www.linkedin.com/company/cbre-gws")</f>
        <v/>
      </c>
      <c r="K607">
        <f>HYPERLINK("Not Found")</f>
        <v/>
      </c>
      <c r="L607">
        <f>HYPERLINK("Not Found")</f>
        <v/>
      </c>
      <c r="M607" t="inlineStr">
        <is>
          <t>Aylesbury, United Kingdom</t>
        </is>
      </c>
      <c r="N607" t="inlineStr">
        <is>
          <t>15,000</t>
        </is>
      </c>
      <c r="O607" t="inlineStr">
        <is>
          <t>Commercial Real Estate</t>
        </is>
      </c>
      <c r="P607" t="inlineStr">
        <is>
          <t>project management,advisory,transaction services</t>
        </is>
      </c>
      <c r="Q607" t="inlineStr">
        <is>
          <t>Not Found</t>
        </is>
      </c>
    </row>
    <row r="608">
      <c r="A608" t="inlineStr">
        <is>
          <t>648080267ce7d30001693a05</t>
        </is>
      </c>
      <c r="B608" t="inlineStr">
        <is>
          <t>Karl Marko</t>
        </is>
      </c>
      <c r="C608">
        <f>HYPERLINK("http://www.linkedin.com/in/karl-marko-513141b")</f>
        <v/>
      </c>
      <c r="D608" t="inlineStr">
        <is>
          <t>Not Found</t>
        </is>
      </c>
      <c r="E608" t="inlineStr">
        <is>
          <t>Associate Director</t>
        </is>
      </c>
      <c r="F608">
        <f>HYPERLINK("https://app.apollo.io/#/people/648080267ce7d30001693a05")</f>
        <v/>
      </c>
      <c r="G608" t="inlineStr">
        <is>
          <t>CBRE Global Workplace Solutions (GWS)</t>
        </is>
      </c>
      <c r="H608">
        <f>HYPERLINK("https://app.apollo.io/#/accounts/6509fed6f449800001b69a15")</f>
        <v/>
      </c>
      <c r="I608">
        <f>HYPERLINK("http://www.coor.com/")</f>
        <v/>
      </c>
      <c r="J608">
        <f>HYPERLINK("http://www.linkedin.com/company/cbre-gws")</f>
        <v/>
      </c>
      <c r="K608">
        <f>HYPERLINK("Not Found")</f>
        <v/>
      </c>
      <c r="L608">
        <f>HYPERLINK("Not Found")</f>
        <v/>
      </c>
      <c r="M608" t="inlineStr">
        <is>
          <t>Wisbech, United Kingdom</t>
        </is>
      </c>
      <c r="N608" t="inlineStr">
        <is>
          <t>15,000</t>
        </is>
      </c>
      <c r="O608" t="inlineStr">
        <is>
          <t>Commercial Real Estate</t>
        </is>
      </c>
      <c r="P608" t="inlineStr">
        <is>
          <t>project management,advisory,transaction services</t>
        </is>
      </c>
      <c r="Q608" t="inlineStr">
        <is>
          <t>Not Found</t>
        </is>
      </c>
    </row>
    <row r="609">
      <c r="A609" t="inlineStr">
        <is>
          <t>60fad71987650e0001111c8d</t>
        </is>
      </c>
      <c r="B609" t="inlineStr">
        <is>
          <t>Oliver Hunt</t>
        </is>
      </c>
      <c r="C609">
        <f>HYPERLINK("http://www.linkedin.com/in/oliver-hunt-0759213b")</f>
        <v/>
      </c>
      <c r="D609" t="inlineStr">
        <is>
          <t>Not Found</t>
        </is>
      </c>
      <c r="E609" t="inlineStr">
        <is>
          <t>Development Director</t>
        </is>
      </c>
      <c r="F609">
        <f>HYPERLINK("https://app.apollo.io/#/people/60fad71987650e0001111c8d")</f>
        <v/>
      </c>
      <c r="G609" t="inlineStr">
        <is>
          <t>Landsec</t>
        </is>
      </c>
      <c r="H609">
        <f>HYPERLINK("https://app.apollo.io/#/accounts/6578b86a75dc3a02ccc995c8")</f>
        <v/>
      </c>
      <c r="I609">
        <f>HYPERLINK("http://www.landsec.com/")</f>
        <v/>
      </c>
      <c r="J609">
        <f>HYPERLINK("http://www.linkedin.com/company/landsec")</f>
        <v/>
      </c>
      <c r="K609">
        <f>HYPERLINK("https://twitter.com/landsecgroup?lang=en")</f>
        <v/>
      </c>
      <c r="L609">
        <f>HYPERLINK("https://facebook.com/pages/category/Real-Estate-Company/Landsec-Group-335042077050643/")</f>
        <v/>
      </c>
      <c r="M609" t="inlineStr">
        <is>
          <t>London, United Kingdom</t>
        </is>
      </c>
      <c r="N609" t="inlineStr">
        <is>
          <t>860</t>
        </is>
      </c>
      <c r="O609" t="inlineStr">
        <is>
          <t>Commercial Real Estate</t>
        </is>
      </c>
      <c r="P609" t="inlineStr">
        <is>
          <t>property investment,management &amp; development</t>
        </is>
      </c>
      <c r="Q609" t="inlineStr">
        <is>
          <t>Not Found</t>
        </is>
      </c>
    </row>
    <row r="610">
      <c r="A610" t="inlineStr">
        <is>
          <t>54a3f27774686932099a3320</t>
        </is>
      </c>
      <c r="B610" t="inlineStr">
        <is>
          <t>Tim Stirling</t>
        </is>
      </c>
      <c r="C610">
        <f>HYPERLINK("http://www.linkedin.com/in/tim-stirling-66288b27")</f>
        <v/>
      </c>
      <c r="D610" t="inlineStr">
        <is>
          <t>Not Found</t>
        </is>
      </c>
      <c r="E610" t="inlineStr">
        <is>
          <t>Centre Director</t>
        </is>
      </c>
      <c r="F610">
        <f>HYPERLINK("https://app.apollo.io/#/people/54a3f27774686932099a3320")</f>
        <v/>
      </c>
      <c r="G610" t="inlineStr">
        <is>
          <t>Landsec</t>
        </is>
      </c>
      <c r="H610">
        <f>HYPERLINK("https://app.apollo.io/#/accounts/6578b86a75dc3a02ccc995c8")</f>
        <v/>
      </c>
      <c r="I610">
        <f>HYPERLINK("http://www.landsec.com/")</f>
        <v/>
      </c>
      <c r="J610">
        <f>HYPERLINK("http://www.linkedin.com/company/landsec")</f>
        <v/>
      </c>
      <c r="K610">
        <f>HYPERLINK("https://twitter.com/landsecgroup?lang=en")</f>
        <v/>
      </c>
      <c r="L610">
        <f>HYPERLINK("https://facebook.com/pages/category/Real-Estate-Company/Landsec-Group-335042077050643/")</f>
        <v/>
      </c>
      <c r="M610" t="inlineStr">
        <is>
          <t>Hatfield, United Kingdom</t>
        </is>
      </c>
      <c r="N610" t="inlineStr">
        <is>
          <t>860</t>
        </is>
      </c>
      <c r="O610" t="inlineStr">
        <is>
          <t>Commercial Real Estate</t>
        </is>
      </c>
      <c r="P610" t="inlineStr">
        <is>
          <t>property investment,management &amp; development</t>
        </is>
      </c>
      <c r="Q610" t="inlineStr">
        <is>
          <t>Not Found</t>
        </is>
      </c>
    </row>
    <row r="611">
      <c r="A611" t="inlineStr">
        <is>
          <t>5d6a8ed280f93e3553e661c9</t>
        </is>
      </c>
      <c r="B611" t="inlineStr">
        <is>
          <t>Jamie Garrett</t>
        </is>
      </c>
      <c r="C611">
        <f>HYPERLINK("http://www.linkedin.com/in/jamie-garrett-356a16128")</f>
        <v/>
      </c>
      <c r="D611" t="inlineStr">
        <is>
          <t>Not Found</t>
        </is>
      </c>
      <c r="E611" t="inlineStr">
        <is>
          <t>Finance Director</t>
        </is>
      </c>
      <c r="F611">
        <f>HYPERLINK("https://app.apollo.io/#/people/5d6a8ed280f93e3553e661c9")</f>
        <v/>
      </c>
      <c r="G611" t="inlineStr">
        <is>
          <t>CBRE Global Workplace Solutions (GWS)</t>
        </is>
      </c>
      <c r="H611">
        <f>HYPERLINK("https://app.apollo.io/#/accounts/6509fed6f449800001b69a15")</f>
        <v/>
      </c>
      <c r="I611">
        <f>HYPERLINK("http://www.coor.com/")</f>
        <v/>
      </c>
      <c r="J611">
        <f>HYPERLINK("http://www.linkedin.com/company/cbre-gws")</f>
        <v/>
      </c>
      <c r="K611">
        <f>HYPERLINK("Not Found")</f>
        <v/>
      </c>
      <c r="L611">
        <f>HYPERLINK("Not Found")</f>
        <v/>
      </c>
      <c r="M611" t="inlineStr">
        <is>
          <t>Romford, United Kingdom</t>
        </is>
      </c>
      <c r="N611" t="inlineStr">
        <is>
          <t>15,000</t>
        </is>
      </c>
      <c r="O611" t="inlineStr">
        <is>
          <t>Commercial Real Estate</t>
        </is>
      </c>
      <c r="P611" t="inlineStr">
        <is>
          <t>project management,advisory,transaction services</t>
        </is>
      </c>
      <c r="Q611" t="inlineStr">
        <is>
          <t>Not Found</t>
        </is>
      </c>
    </row>
    <row r="612">
      <c r="A612" t="inlineStr">
        <is>
          <t>61025f795a2f020001ec0ada</t>
        </is>
      </c>
      <c r="B612" t="inlineStr">
        <is>
          <t>Sam Burgess</t>
        </is>
      </c>
      <c r="C612">
        <f>HYPERLINK("http://www.linkedin.com/in/sam-burgess-mrics-a8798b66")</f>
        <v/>
      </c>
      <c r="D612" t="inlineStr">
        <is>
          <t>Not Found</t>
        </is>
      </c>
      <c r="E612" t="inlineStr">
        <is>
          <t>Associate Director</t>
        </is>
      </c>
      <c r="F612">
        <f>HYPERLINK("https://app.apollo.io/#/people/61025f795a2f020001ec0ada")</f>
        <v/>
      </c>
      <c r="G612" t="inlineStr">
        <is>
          <t>Colliers</t>
        </is>
      </c>
      <c r="H612">
        <f>HYPERLINK("https://app.apollo.io/#/accounts/64aaf6c63d556a0001e8eda6")</f>
        <v/>
      </c>
      <c r="I612">
        <f>HYPERLINK("http://www.colliers.com/")</f>
        <v/>
      </c>
      <c r="J612">
        <f>HYPERLINK("http://www.linkedin.com/company/colliers")</f>
        <v/>
      </c>
      <c r="K612">
        <f>HYPERLINK("https://twitter.com/Colliers")</f>
        <v/>
      </c>
      <c r="L612">
        <f>HYPERLINK("https://facebook.com/colliersinternational/")</f>
        <v/>
      </c>
      <c r="M612" t="inlineStr">
        <is>
          <t>London, United Kingdom</t>
        </is>
      </c>
      <c r="N612" t="inlineStr">
        <is>
          <t>25,000</t>
        </is>
      </c>
      <c r="O612" t="inlineStr">
        <is>
          <t>Commercial Real Estate</t>
        </is>
      </c>
      <c r="P612" t="inlineStr">
        <is>
          <t>brokerage &amp; agency,corporate solutions</t>
        </is>
      </c>
      <c r="Q612" t="inlineStr">
        <is>
          <t>Not Found</t>
        </is>
      </c>
    </row>
    <row r="613">
      <c r="A613" t="inlineStr">
        <is>
          <t>60eeba78f226210001778678</t>
        </is>
      </c>
      <c r="B613" t="inlineStr">
        <is>
          <t>Joban Singh</t>
        </is>
      </c>
      <c r="C613">
        <f>HYPERLINK("http://www.linkedin.com/in/joban-singh-9570195b")</f>
        <v/>
      </c>
      <c r="D613" t="inlineStr">
        <is>
          <t>Not Found</t>
        </is>
      </c>
      <c r="E613" t="inlineStr">
        <is>
          <t>Procurement Director</t>
        </is>
      </c>
      <c r="F613">
        <f>HYPERLINK("https://app.apollo.io/#/people/60eeba78f226210001778678")</f>
        <v/>
      </c>
      <c r="G613" t="inlineStr">
        <is>
          <t>CBRE Global Workplace Solutions (GWS)</t>
        </is>
      </c>
      <c r="H613">
        <f>HYPERLINK("https://app.apollo.io/#/accounts/6509fed6f449800001b69a15")</f>
        <v/>
      </c>
      <c r="I613">
        <f>HYPERLINK("http://www.coor.com/")</f>
        <v/>
      </c>
      <c r="J613">
        <f>HYPERLINK("http://www.linkedin.com/company/cbre-gws")</f>
        <v/>
      </c>
      <c r="K613">
        <f>HYPERLINK("Not Found")</f>
        <v/>
      </c>
      <c r="L613">
        <f>HYPERLINK("Not Found")</f>
        <v/>
      </c>
      <c r="M613" t="inlineStr">
        <is>
          <t>London, United Kingdom</t>
        </is>
      </c>
      <c r="N613" t="inlineStr">
        <is>
          <t>15,000</t>
        </is>
      </c>
      <c r="O613" t="inlineStr">
        <is>
          <t>Commercial Real Estate</t>
        </is>
      </c>
      <c r="P613" t="inlineStr">
        <is>
          <t>project management,advisory,transaction services</t>
        </is>
      </c>
      <c r="Q613" t="inlineStr">
        <is>
          <t>Not Found</t>
        </is>
      </c>
    </row>
    <row r="614">
      <c r="A614" t="inlineStr">
        <is>
          <t>54a7e6217468696de7d17756</t>
        </is>
      </c>
      <c r="B614" t="inlineStr">
        <is>
          <t>Ryan Kilby</t>
        </is>
      </c>
      <c r="C614">
        <f>HYPERLINK("http://www.linkedin.com/in/ryan-kilby-2bb68a50")</f>
        <v/>
      </c>
      <c r="D614" t="inlineStr">
        <is>
          <t>Not Found</t>
        </is>
      </c>
      <c r="E614" t="inlineStr">
        <is>
          <t>Technical Director</t>
        </is>
      </c>
      <c r="F614">
        <f>HYPERLINK("https://app.apollo.io/#/people/54a7e6217468696de7d17756")</f>
        <v/>
      </c>
      <c r="G614" t="inlineStr">
        <is>
          <t>CBRE Global Workplace Solutions (GWS)</t>
        </is>
      </c>
      <c r="H614">
        <f>HYPERLINK("https://app.apollo.io/#/accounts/6509fed6f449800001b69a15")</f>
        <v/>
      </c>
      <c r="I614">
        <f>HYPERLINK("http://www.coor.com/")</f>
        <v/>
      </c>
      <c r="J614">
        <f>HYPERLINK("http://www.linkedin.com/company/cbre-gws")</f>
        <v/>
      </c>
      <c r="K614">
        <f>HYPERLINK("Not Found")</f>
        <v/>
      </c>
      <c r="L614">
        <f>HYPERLINK("Not Found")</f>
        <v/>
      </c>
      <c r="M614" t="inlineStr">
        <is>
          <t>Edenbridge, United Kingdom</t>
        </is>
      </c>
      <c r="N614" t="inlineStr">
        <is>
          <t>15,000</t>
        </is>
      </c>
      <c r="O614" t="inlineStr">
        <is>
          <t>Commercial Real Estate</t>
        </is>
      </c>
      <c r="P614" t="inlineStr">
        <is>
          <t>project management,advisory,transaction services</t>
        </is>
      </c>
      <c r="Q614" t="inlineStr">
        <is>
          <t>Not Found</t>
        </is>
      </c>
    </row>
    <row r="615">
      <c r="A615" t="inlineStr">
        <is>
          <t>55708de673696466478c1200</t>
        </is>
      </c>
      <c r="B615" t="inlineStr">
        <is>
          <t>Tim Plumbe</t>
        </is>
      </c>
      <c r="C615">
        <f>HYPERLINK("http://www.linkedin.com/in/tim-plumbe-826a517a")</f>
        <v/>
      </c>
      <c r="D615" t="inlineStr">
        <is>
          <t>Not Found</t>
        </is>
      </c>
      <c r="E615" t="inlineStr">
        <is>
          <t>Senior Director</t>
        </is>
      </c>
      <c r="F615">
        <f>HYPERLINK("https://app.apollo.io/#/people/55708de673696466478c1200")</f>
        <v/>
      </c>
      <c r="G615" t="inlineStr">
        <is>
          <t>Cushman &amp; Wakefield - Formerly DTZ</t>
        </is>
      </c>
      <c r="H615">
        <f>HYPERLINK("https://app.apollo.io/#/accounts/6578bef1ccf69c01ae54f888")</f>
        <v/>
      </c>
      <c r="I615">
        <f>HYPERLINK("http://www.cushwake-ni.com/")</f>
        <v/>
      </c>
      <c r="J615">
        <f>HYPERLINK("http://www.linkedin.com/company/dtz")</f>
        <v/>
      </c>
      <c r="K615">
        <f>HYPERLINK("Not Found")</f>
        <v/>
      </c>
      <c r="L615">
        <f>HYPERLINK("Not Found")</f>
        <v/>
      </c>
      <c r="M615" t="inlineStr">
        <is>
          <t>London, United Kingdom</t>
        </is>
      </c>
      <c r="N615" t="inlineStr">
        <is>
          <t>3,800</t>
        </is>
      </c>
      <c r="O615" t="inlineStr">
        <is>
          <t>Commercial Real Estate</t>
        </is>
      </c>
      <c r="P615" t="inlineStr">
        <is>
          <t>agency leasing,capital markets,consulting</t>
        </is>
      </c>
      <c r="Q615" t="inlineStr">
        <is>
          <t>Not Found</t>
        </is>
      </c>
    </row>
    <row r="616">
      <c r="A616" t="inlineStr">
        <is>
          <t>60c73e8575e77200012c6972</t>
        </is>
      </c>
      <c r="B616" t="inlineStr">
        <is>
          <t>Doug Janikiewicz</t>
        </is>
      </c>
      <c r="C616">
        <f>HYPERLINK("http://www.linkedin.com/in/doug-janikiewicz-b0604910")</f>
        <v/>
      </c>
      <c r="D616" t="inlineStr">
        <is>
          <t>Not Found</t>
        </is>
      </c>
      <c r="E616" t="inlineStr">
        <is>
          <t>Managing Director</t>
        </is>
      </c>
      <c r="F616">
        <f>HYPERLINK("https://app.apollo.io/#/people/60c73e8575e77200012c6972")</f>
        <v/>
      </c>
      <c r="G616" t="inlineStr">
        <is>
          <t>CBRE Global Workplace Solutions (GWS)</t>
        </is>
      </c>
      <c r="H616">
        <f>HYPERLINK("https://app.apollo.io/#/accounts/6509fed6f449800001b69a15")</f>
        <v/>
      </c>
      <c r="I616">
        <f>HYPERLINK("http://www.coor.com/")</f>
        <v/>
      </c>
      <c r="J616">
        <f>HYPERLINK("http://www.linkedin.com/company/cbre-gws")</f>
        <v/>
      </c>
      <c r="K616">
        <f>HYPERLINK("Not Found")</f>
        <v/>
      </c>
      <c r="L616">
        <f>HYPERLINK("Not Found")</f>
        <v/>
      </c>
      <c r="M616" t="inlineStr">
        <is>
          <t>United Kingdom</t>
        </is>
      </c>
      <c r="N616" t="inlineStr">
        <is>
          <t>15,000</t>
        </is>
      </c>
      <c r="O616" t="inlineStr">
        <is>
          <t>Commercial Real Estate</t>
        </is>
      </c>
      <c r="P616" t="inlineStr">
        <is>
          <t>project management,advisory,transaction services</t>
        </is>
      </c>
      <c r="Q616" t="inlineStr">
        <is>
          <t>Not Found</t>
        </is>
      </c>
    </row>
    <row r="617">
      <c r="A617" t="inlineStr">
        <is>
          <t>57d90f81a6da98728afaae5e</t>
        </is>
      </c>
      <c r="B617" t="inlineStr">
        <is>
          <t>Frazer Cunnane</t>
        </is>
      </c>
      <c r="C617">
        <f>HYPERLINK("http://www.linkedin.com/in/frazer-cunnane-a32460115")</f>
        <v/>
      </c>
      <c r="D617" t="inlineStr">
        <is>
          <t>Not Found</t>
        </is>
      </c>
      <c r="E617" t="inlineStr">
        <is>
          <t>Associate Director</t>
        </is>
      </c>
      <c r="F617">
        <f>HYPERLINK("https://app.apollo.io/#/people/57d90f81a6da98728afaae5e")</f>
        <v/>
      </c>
      <c r="G617" t="inlineStr">
        <is>
          <t>Knight Frank Australia</t>
        </is>
      </c>
      <c r="H617">
        <f>HYPERLINK("https://app.apollo.io/#/organizations/5ed1e7944fbb6b0001964044")</f>
        <v/>
      </c>
      <c r="I617">
        <f>HYPERLINK("http://www.knightfrank.com.au/")</f>
        <v/>
      </c>
      <c r="J617">
        <f>HYPERLINK("http://www.linkedin.com/company/knight-frank-australia")</f>
        <v/>
      </c>
      <c r="K617">
        <f>HYPERLINK("Not Found")</f>
        <v/>
      </c>
      <c r="L617">
        <f>HYPERLINK("Not Found")</f>
        <v/>
      </c>
      <c r="M617" t="inlineStr">
        <is>
          <t>London, United Kingdom</t>
        </is>
      </c>
      <c r="N617" t="inlineStr">
        <is>
          <t>790</t>
        </is>
      </c>
      <c r="O617" t="inlineStr">
        <is>
          <t>Commercial Real Estate</t>
        </is>
      </c>
      <c r="P617" t="inlineStr">
        <is>
          <t>commercial sales,commercial leasing,industrial sales</t>
        </is>
      </c>
      <c r="Q617" t="inlineStr">
        <is>
          <t>Not Found</t>
        </is>
      </c>
    </row>
    <row r="618">
      <c r="A618" t="inlineStr">
        <is>
          <t>60fd3d5c8fd4940001e022ae</t>
        </is>
      </c>
      <c r="B618" t="inlineStr">
        <is>
          <t>Ben Turner</t>
        </is>
      </c>
      <c r="C618">
        <f>HYPERLINK("http://www.linkedin.com/in/ben-turner-b42a58b6")</f>
        <v/>
      </c>
      <c r="D618" t="inlineStr">
        <is>
          <t>Not Found</t>
        </is>
      </c>
      <c r="E618" t="inlineStr">
        <is>
          <t>Division Director</t>
        </is>
      </c>
      <c r="F618">
        <f>HYPERLINK("https://app.apollo.io/#/people/60fd3d5c8fd4940001e022ae")</f>
        <v/>
      </c>
      <c r="G618" t="inlineStr">
        <is>
          <t>Go Plant Fleet Services Ltd</t>
        </is>
      </c>
      <c r="H618">
        <f>HYPERLINK("https://app.apollo.io/#/accounts/6578aea803912001ae665add")</f>
        <v/>
      </c>
      <c r="I618">
        <f>HYPERLINK("http://www.go-plant.co.uk/")</f>
        <v/>
      </c>
      <c r="J618">
        <f>HYPERLINK("http://www.linkedin.com/company/go-plant-fleet-services-ltd")</f>
        <v/>
      </c>
      <c r="K618">
        <f>HYPERLINK("Not Found")</f>
        <v/>
      </c>
      <c r="L618">
        <f>HYPERLINK("https://www.facebook.com/GoPlantFleetServices/")</f>
        <v/>
      </c>
      <c r="M618" t="inlineStr">
        <is>
          <t>Coulsdon, United Kingdom</t>
        </is>
      </c>
      <c r="N618" t="inlineStr">
        <is>
          <t>220</t>
        </is>
      </c>
      <c r="O618" t="inlineStr">
        <is>
          <t>Commercial Real Estate</t>
        </is>
      </c>
      <c r="P618" t="inlineStr">
        <is>
          <t>fleet management &amp; maintenance,extensive fleet operating knowledge</t>
        </is>
      </c>
      <c r="Q618" t="inlineStr">
        <is>
          <t>Not Found</t>
        </is>
      </c>
    </row>
    <row r="619">
      <c r="A619" t="inlineStr">
        <is>
          <t>60ccdd479b9c0b00011484b2</t>
        </is>
      </c>
      <c r="B619" t="inlineStr">
        <is>
          <t>Maggie Jones</t>
        </is>
      </c>
      <c r="C619">
        <f>HYPERLINK("http://www.linkedin.com/in/maggie-jones-5a42366a")</f>
        <v/>
      </c>
      <c r="D619" t="inlineStr">
        <is>
          <t>Not Found</t>
        </is>
      </c>
      <c r="E619" t="inlineStr">
        <is>
          <t>Company Director</t>
        </is>
      </c>
      <c r="F619">
        <f>HYPERLINK("https://app.apollo.io/#/people/60ccdd479b9c0b00011484b2")</f>
        <v/>
      </c>
      <c r="G619" t="inlineStr">
        <is>
          <t>Alliance Tool Hire</t>
        </is>
      </c>
      <c r="H619">
        <f>HYPERLINK("https://app.apollo.io/#/accounts/6578bc23a5b65801ae44d748")</f>
        <v/>
      </c>
      <c r="I619">
        <f>HYPERLINK("http://www.alliancetoolhire.com/")</f>
        <v/>
      </c>
      <c r="J619">
        <f>HYPERLINK("http://www.linkedin.com/company/alliance-tool-hire")</f>
        <v/>
      </c>
      <c r="K619">
        <f>HYPERLINK("Not Found")</f>
        <v/>
      </c>
      <c r="L619">
        <f>HYPERLINK("Not Found")</f>
        <v/>
      </c>
      <c r="M619" t="inlineStr">
        <is>
          <t>London, United Kingdom</t>
        </is>
      </c>
      <c r="N619" t="inlineStr">
        <is>
          <t>28</t>
        </is>
      </c>
      <c r="O619" t="inlineStr">
        <is>
          <t>Commercial Real Estate</t>
        </is>
      </c>
      <c r="P619" t="inlineStr">
        <is>
          <t>plumbing &amp; pipework,landscaping,fixing &amp; fastening</t>
        </is>
      </c>
      <c r="Q619" t="inlineStr">
        <is>
          <t>Not Found</t>
        </is>
      </c>
    </row>
    <row r="620">
      <c r="A620" t="inlineStr">
        <is>
          <t>54c21c767468697af7fda57b</t>
        </is>
      </c>
      <c r="B620" t="inlineStr">
        <is>
          <t>Martin Worthington</t>
        </is>
      </c>
      <c r="C620">
        <f>HYPERLINK("http://www.linkedin.com/in/martin-worthington-0871a110")</f>
        <v/>
      </c>
      <c r="D620" t="inlineStr">
        <is>
          <t>Not Found</t>
        </is>
      </c>
      <c r="E620" t="inlineStr">
        <is>
          <t>Director of Taxation</t>
        </is>
      </c>
      <c r="F620">
        <f>HYPERLINK("https://app.apollo.io/#/people/54c21c767468697af7fda57b")</f>
        <v/>
      </c>
      <c r="G620" t="inlineStr">
        <is>
          <t>Landsec</t>
        </is>
      </c>
      <c r="H620">
        <f>HYPERLINK("https://app.apollo.io/#/accounts/6578b86a75dc3a02ccc995c8")</f>
        <v/>
      </c>
      <c r="I620">
        <f>HYPERLINK("http://www.landsec.com/")</f>
        <v/>
      </c>
      <c r="J620">
        <f>HYPERLINK("http://www.linkedin.com/company/landsec")</f>
        <v/>
      </c>
      <c r="K620">
        <f>HYPERLINK("https://twitter.com/landsecgroup?lang=en")</f>
        <v/>
      </c>
      <c r="L620">
        <f>HYPERLINK("https://facebook.com/pages/category/Real-Estate-Company/Landsec-Group-335042077050643/")</f>
        <v/>
      </c>
      <c r="M620" t="inlineStr">
        <is>
          <t>London, United Kingdom</t>
        </is>
      </c>
      <c r="N620" t="inlineStr">
        <is>
          <t>860</t>
        </is>
      </c>
      <c r="O620" t="inlineStr">
        <is>
          <t>Commercial Real Estate</t>
        </is>
      </c>
      <c r="P620" t="inlineStr">
        <is>
          <t>property investment,management &amp; development</t>
        </is>
      </c>
      <c r="Q620" t="inlineStr">
        <is>
          <t>Not Found</t>
        </is>
      </c>
    </row>
    <row r="621">
      <c r="A621" t="inlineStr">
        <is>
          <t>60feabb76e30bf0001c1ab98</t>
        </is>
      </c>
      <c r="B621" t="inlineStr">
        <is>
          <t>Chris Rowlands</t>
        </is>
      </c>
      <c r="C621">
        <f>HYPERLINK("http://www.linkedin.com/in/chris-rowlands-3476aba1")</f>
        <v/>
      </c>
      <c r="D621" t="inlineStr">
        <is>
          <t>Not Found</t>
        </is>
      </c>
      <c r="E621" t="inlineStr">
        <is>
          <t>Managing Director</t>
        </is>
      </c>
      <c r="F621">
        <f>HYPERLINK("https://app.apollo.io/#/people/60feabb76e30bf0001c1ab98")</f>
        <v/>
      </c>
      <c r="G621" t="inlineStr">
        <is>
          <t>Blacks Business Brokers</t>
        </is>
      </c>
      <c r="H621">
        <f>HYPERLINK("https://app.apollo.io/#/organizations/54a12af369702d9313756d02")</f>
        <v/>
      </c>
      <c r="I621">
        <f>HYPERLINK("http://www.blacksbrokers.com/")</f>
        <v/>
      </c>
      <c r="J621">
        <f>HYPERLINK("http://www.linkedin.com/company/blacks-business-brokers")</f>
        <v/>
      </c>
      <c r="K621">
        <f>HYPERLINK("Not Found")</f>
        <v/>
      </c>
      <c r="L621">
        <f>HYPERLINK("Not Found")</f>
        <v/>
      </c>
      <c r="M621" t="inlineStr">
        <is>
          <t>Bolton, United Kingdom</t>
        </is>
      </c>
      <c r="N621" t="inlineStr">
        <is>
          <t>23</t>
        </is>
      </c>
      <c r="O621" t="inlineStr">
        <is>
          <t>Commercial Real Estate</t>
        </is>
      </c>
      <c r="P621" t="inlineStr">
        <is>
          <t>matching hot buyers,businesses for sale,selling businesses across all sectors</t>
        </is>
      </c>
      <c r="Q621" t="inlineStr">
        <is>
          <t>Not Found</t>
        </is>
      </c>
    </row>
    <row r="622">
      <c r="A622" t="inlineStr">
        <is>
          <t>55714c8d73696457ff805200</t>
        </is>
      </c>
      <c r="B622" t="inlineStr">
        <is>
          <t>Lee Hawkins</t>
        </is>
      </c>
      <c r="C622">
        <f>HYPERLINK("http://www.linkedin.com/in/lee-hawkins-198a4326")</f>
        <v/>
      </c>
      <c r="D622" t="inlineStr">
        <is>
          <t>Not Found</t>
        </is>
      </c>
      <c r="E622" t="inlineStr">
        <is>
          <t>Construction Director</t>
        </is>
      </c>
      <c r="F622">
        <f>HYPERLINK("https://app.apollo.io/#/people/55714c8d73696457ff805200")</f>
        <v/>
      </c>
      <c r="G622" t="inlineStr">
        <is>
          <t>Goodstone Living</t>
        </is>
      </c>
      <c r="H622">
        <f>HYPERLINK("https://app.apollo.io/#/accounts/6578bc2bf8c62e01aef7c24f")</f>
        <v/>
      </c>
      <c r="I622">
        <f>HYPERLINK("http://www.goodstoneliving.com/")</f>
        <v/>
      </c>
      <c r="J622">
        <f>HYPERLINK("http://www.linkedin.com/company/goodstone-living")</f>
        <v/>
      </c>
      <c r="K622">
        <f>HYPERLINK("https://twitter.com/GoodstoneLiving")</f>
        <v/>
      </c>
      <c r="L622">
        <f>HYPERLINK("Not Found")</f>
        <v/>
      </c>
      <c r="M622" t="inlineStr">
        <is>
          <t>West End, United Kingdom</t>
        </is>
      </c>
      <c r="N622" t="inlineStr">
        <is>
          <t>17</t>
        </is>
      </c>
      <c r="O622" t="inlineStr">
        <is>
          <t>Commercial Real Estate</t>
        </is>
      </c>
      <c r="Q622" t="inlineStr">
        <is>
          <t>Not Found</t>
        </is>
      </c>
    </row>
    <row r="623">
      <c r="A623" t="inlineStr">
        <is>
          <t>5b3dd72ea6da98a0ad9fe2e2</t>
        </is>
      </c>
      <c r="B623" t="inlineStr">
        <is>
          <t>Michael Burke</t>
        </is>
      </c>
      <c r="C623">
        <f>HYPERLINK("http://www.linkedin.com/in/michael-burke-9ba64821")</f>
        <v/>
      </c>
      <c r="D623" t="inlineStr">
        <is>
          <t>Not Found</t>
        </is>
      </c>
      <c r="E623" t="inlineStr">
        <is>
          <t>Partner at OKT (O’Connor Kennedy Turtle)</t>
        </is>
      </c>
      <c r="F623">
        <f>HYPERLINK("https://app.apollo.io/#/people/5b3dd72ea6da98a0ad9fe2e2")</f>
        <v/>
      </c>
      <c r="G623" t="inlineStr">
        <is>
          <t>OKT (O'Connor Kennedy Turtle)</t>
        </is>
      </c>
      <c r="H623">
        <f>HYPERLINK("https://app.apollo.io/#/accounts/6578be64ccf69c03ea54eb2f")</f>
        <v/>
      </c>
      <c r="I623">
        <f>HYPERLINK("http://www.okt.co.uk/")</f>
        <v/>
      </c>
      <c r="J623">
        <f>HYPERLINK("http://www.linkedin.com/company/okt-o'connor-kennedy-turtle-")</f>
        <v/>
      </c>
      <c r="K623">
        <f>HYPERLINK("https://www.twitter.com/OKTBelfast")</f>
        <v/>
      </c>
      <c r="L623">
        <f>HYPERLINK("https://facebook.com/pages/OKT-OConnor-Kennedy-Turtle/1417342818482903")</f>
        <v/>
      </c>
      <c r="M623" t="inlineStr">
        <is>
          <t>United Kingdom</t>
        </is>
      </c>
      <c r="N623" t="inlineStr">
        <is>
          <t>8</t>
        </is>
      </c>
      <c r="O623" t="inlineStr">
        <is>
          <t>Commercial Real Estate</t>
        </is>
      </c>
      <c r="P623" t="inlineStr">
        <is>
          <t>commercial property,agency,valuation,development</t>
        </is>
      </c>
      <c r="Q623" t="inlineStr">
        <is>
          <t>Not Found</t>
        </is>
      </c>
    </row>
    <row r="624">
      <c r="A624" t="inlineStr">
        <is>
          <t>5e8db0f1ca869c0001f83050</t>
        </is>
      </c>
      <c r="B624" t="inlineStr">
        <is>
          <t>Kash Bhatti</t>
        </is>
      </c>
      <c r="C624">
        <f>HYPERLINK("http://www.linkedin.com/in/kash-bhatti-mba-mrics-75939628")</f>
        <v/>
      </c>
      <c r="D624" t="inlineStr">
        <is>
          <t>Not Found</t>
        </is>
      </c>
      <c r="E624" t="inlineStr">
        <is>
          <t>Director Of FM</t>
        </is>
      </c>
      <c r="F624">
        <f>HYPERLINK("https://app.apollo.io/#/people/5e8db0f1ca869c0001f83050")</f>
        <v/>
      </c>
      <c r="G624" t="inlineStr">
        <is>
          <t>Cowiesburn</t>
        </is>
      </c>
      <c r="H624">
        <f>HYPERLINK("https://app.apollo.io/#/organizations/54a221ae7468693fdab25d0f")</f>
        <v/>
      </c>
      <c r="I624">
        <f>HYPERLINK("http://www.cowiesburn.co.uk/")</f>
        <v/>
      </c>
      <c r="J624">
        <f>HYPERLINK("http://www.linkedin.com/company/cowiesburn-asset-management-llp")</f>
        <v/>
      </c>
      <c r="K624">
        <f>HYPERLINK("Not Found")</f>
        <v/>
      </c>
      <c r="L624">
        <f>HYPERLINK("Not Found")</f>
        <v/>
      </c>
      <c r="M624" t="inlineStr">
        <is>
          <t>Glasgow, United Kingdom</t>
        </is>
      </c>
      <c r="N624" t="inlineStr">
        <is>
          <t>24</t>
        </is>
      </c>
      <c r="O624" t="inlineStr">
        <is>
          <t>Commercial Real Estate</t>
        </is>
      </c>
      <c r="P624" t="inlineStr">
        <is>
          <t>commercial property management,commercial property investment</t>
        </is>
      </c>
      <c r="Q624" t="inlineStr">
        <is>
          <t>Not Found</t>
        </is>
      </c>
    </row>
    <row r="625">
      <c r="A625" t="inlineStr">
        <is>
          <t>54a5507e746869367637f88d</t>
        </is>
      </c>
      <c r="B625" t="inlineStr">
        <is>
          <t>Philip Papenfus</t>
        </is>
      </c>
      <c r="C625">
        <f>HYPERLINK("http://www.linkedin.com/in/philip-papenfus-10120228")</f>
        <v/>
      </c>
      <c r="D625" t="inlineStr">
        <is>
          <t>Not Found</t>
        </is>
      </c>
      <c r="E625" t="inlineStr">
        <is>
          <t>Consultant Director</t>
        </is>
      </c>
      <c r="F625">
        <f>HYPERLINK("https://app.apollo.io/#/people/54a5507e746869367637f88d")</f>
        <v/>
      </c>
      <c r="G625" t="inlineStr">
        <is>
          <t>DohertyBaines</t>
        </is>
      </c>
      <c r="H625">
        <f>HYPERLINK("https://app.apollo.io/#/accounts/6578bfe2bd906602ccfd8569")</f>
        <v/>
      </c>
      <c r="I625">
        <f>HYPERLINK("http://www.dohertybaines.com/")</f>
        <v/>
      </c>
      <c r="J625">
        <f>HYPERLINK("http://www.linkedin.com/company/dohertybaines")</f>
        <v/>
      </c>
      <c r="K625">
        <f>HYPERLINK("https://twitter.com/dohertybaines")</f>
        <v/>
      </c>
      <c r="L625">
        <f>HYPERLINK("Not Found")</f>
        <v/>
      </c>
      <c r="M625" t="inlineStr">
        <is>
          <t>London, United Kingdom</t>
        </is>
      </c>
      <c r="N625" t="inlineStr">
        <is>
          <t>15</t>
        </is>
      </c>
      <c r="O625" t="inlineStr">
        <is>
          <t>Commercial Real Estate</t>
        </is>
      </c>
      <c r="P625" t="inlineStr">
        <is>
          <t>real estate advisory,industrial agency,office agency</t>
        </is>
      </c>
      <c r="Q625" t="inlineStr">
        <is>
          <t>Not Found</t>
        </is>
      </c>
    </row>
    <row r="626">
      <c r="A626" t="inlineStr">
        <is>
          <t>57de2569a6da987b0d8e9609</t>
        </is>
      </c>
      <c r="B626" t="inlineStr">
        <is>
          <t>Jason Hanley</t>
        </is>
      </c>
      <c r="C626">
        <f>HYPERLINK("http://www.linkedin.com/in/jason-hanley-0a520a1a6")</f>
        <v/>
      </c>
      <c r="D626" t="inlineStr">
        <is>
          <t>Not Found</t>
        </is>
      </c>
      <c r="E626" t="inlineStr">
        <is>
          <t>Expert Commercial Property Agent &amp; a Founding Partner</t>
        </is>
      </c>
      <c r="F626">
        <f>HYPERLINK("https://app.apollo.io/#/people/57de2569a6da987b0d8e9609")</f>
        <v/>
      </c>
      <c r="G626" t="inlineStr">
        <is>
          <t>Monmouth Dean</t>
        </is>
      </c>
      <c r="H626">
        <f>HYPERLINK("https://app.apollo.io/#/organizations/54a11c2269702d918c2e7d00")</f>
        <v/>
      </c>
      <c r="I626">
        <f>HYPERLINK("http://www.monmouthdean.com/")</f>
        <v/>
      </c>
      <c r="J626">
        <f>HYPERLINK("http://www.linkedin.com/company/monmouth-dean")</f>
        <v/>
      </c>
      <c r="K626">
        <f>HYPERLINK("https://twitter.com/MonmouthDean")</f>
        <v/>
      </c>
      <c r="L626">
        <f>HYPERLINK("https://www.facebook.com/MonmouthDean/")</f>
        <v/>
      </c>
      <c r="M626" t="inlineStr">
        <is>
          <t>London, United Kingdom</t>
        </is>
      </c>
      <c r="N626" t="inlineStr">
        <is>
          <t>11</t>
        </is>
      </c>
      <c r="O626" t="inlineStr">
        <is>
          <t>Commercial Real Estate</t>
        </is>
      </c>
      <c r="P626" t="inlineStr">
        <is>
          <t>office acqusitions,office lettings,freehold purchases</t>
        </is>
      </c>
      <c r="Q626" t="inlineStr">
        <is>
          <t>Not Found</t>
        </is>
      </c>
    </row>
    <row r="627">
      <c r="A627" t="inlineStr">
        <is>
          <t>54a3e55e74686934425be41b</t>
        </is>
      </c>
      <c r="B627" t="inlineStr">
        <is>
          <t>Chloe Howe</t>
        </is>
      </c>
      <c r="C627">
        <f>HYPERLINK("http://www.linkedin.com/in/chloe-howe-7b566685")</f>
        <v/>
      </c>
      <c r="D627" t="inlineStr">
        <is>
          <t>Not Found</t>
        </is>
      </c>
      <c r="E627" t="inlineStr">
        <is>
          <t>Account Director</t>
        </is>
      </c>
      <c r="F627">
        <f>HYPERLINK("https://app.apollo.io/#/people/54a3e55e74686934425be41b")</f>
        <v/>
      </c>
      <c r="G627" t="inlineStr">
        <is>
          <t>CBRE Global Workplace Solutions (GWS)</t>
        </is>
      </c>
      <c r="H627">
        <f>HYPERLINK("https://app.apollo.io/#/accounts/6509fed6f449800001b69a15")</f>
        <v/>
      </c>
      <c r="I627">
        <f>HYPERLINK("http://www.coor.com/")</f>
        <v/>
      </c>
      <c r="J627">
        <f>HYPERLINK("http://www.linkedin.com/company/cbre-gws")</f>
        <v/>
      </c>
      <c r="K627">
        <f>HYPERLINK("Not Found")</f>
        <v/>
      </c>
      <c r="L627">
        <f>HYPERLINK("Not Found")</f>
        <v/>
      </c>
      <c r="M627" t="inlineStr">
        <is>
          <t>United Kingdom</t>
        </is>
      </c>
      <c r="N627" t="inlineStr">
        <is>
          <t>15,000</t>
        </is>
      </c>
      <c r="O627" t="inlineStr">
        <is>
          <t>Commercial Real Estate</t>
        </is>
      </c>
      <c r="P627" t="inlineStr">
        <is>
          <t>project management,advisory,transaction services</t>
        </is>
      </c>
      <c r="Q627" t="inlineStr">
        <is>
          <t>Not Found</t>
        </is>
      </c>
    </row>
    <row r="628">
      <c r="A628" t="inlineStr">
        <is>
          <t>54a5a10f7468692abf106d9e</t>
        </is>
      </c>
      <c r="B628" t="inlineStr">
        <is>
          <t>Liz McLaughlin</t>
        </is>
      </c>
      <c r="C628">
        <f>HYPERLINK("http://www.linkedin.com/in/liz-mclaughlin-b61b5025")</f>
        <v/>
      </c>
      <c r="D628" t="inlineStr">
        <is>
          <t>Not Found</t>
        </is>
      </c>
      <c r="E628" t="inlineStr">
        <is>
          <t>Executive Director</t>
        </is>
      </c>
      <c r="F628">
        <f>HYPERLINK("https://app.apollo.io/#/people/54a5a10f7468692abf106d9e")</f>
        <v/>
      </c>
      <c r="G628" t="inlineStr">
        <is>
          <t>CBRE Global Workplace Solutions (GWS)</t>
        </is>
      </c>
      <c r="H628">
        <f>HYPERLINK("https://app.apollo.io/#/accounts/6509fed6f449800001b69a15")</f>
        <v/>
      </c>
      <c r="I628">
        <f>HYPERLINK("http://www.coor.com/")</f>
        <v/>
      </c>
      <c r="J628">
        <f>HYPERLINK("http://www.linkedin.com/company/cbre-gws")</f>
        <v/>
      </c>
      <c r="K628">
        <f>HYPERLINK("Not Found")</f>
        <v/>
      </c>
      <c r="L628">
        <f>HYPERLINK("Not Found")</f>
        <v/>
      </c>
      <c r="M628" t="inlineStr">
        <is>
          <t>London, United Kingdom</t>
        </is>
      </c>
      <c r="N628" t="inlineStr">
        <is>
          <t>15,000</t>
        </is>
      </c>
      <c r="O628" t="inlineStr">
        <is>
          <t>Commercial Real Estate</t>
        </is>
      </c>
      <c r="P628" t="inlineStr">
        <is>
          <t>project management,advisory,transaction services</t>
        </is>
      </c>
      <c r="Q628" t="inlineStr">
        <is>
          <t>Not Found</t>
        </is>
      </c>
    </row>
    <row r="629">
      <c r="A629" t="inlineStr">
        <is>
          <t>54a5904e7468693b8c49c29b</t>
        </is>
      </c>
      <c r="B629" t="inlineStr">
        <is>
          <t>Humberto Rodrigues</t>
        </is>
      </c>
      <c r="C629">
        <f>HYPERLINK("http://www.linkedin.com/in/humberto-rodrigues-653a3354")</f>
        <v/>
      </c>
      <c r="D629" t="inlineStr">
        <is>
          <t>Not Found</t>
        </is>
      </c>
      <c r="E629" t="inlineStr">
        <is>
          <t>Project Director</t>
        </is>
      </c>
      <c r="F629">
        <f>HYPERLINK("https://app.apollo.io/#/people/54a5904e7468693b8c49c29b")</f>
        <v/>
      </c>
      <c r="G629" t="inlineStr">
        <is>
          <t>CBRE Global Workplace Solutions (GWS)</t>
        </is>
      </c>
      <c r="H629">
        <f>HYPERLINK("https://app.apollo.io/#/accounts/6509fed6f449800001b69a15")</f>
        <v/>
      </c>
      <c r="I629">
        <f>HYPERLINK("http://www.coor.com/")</f>
        <v/>
      </c>
      <c r="J629">
        <f>HYPERLINK("http://www.linkedin.com/company/cbre-gws")</f>
        <v/>
      </c>
      <c r="K629">
        <f>HYPERLINK("Not Found")</f>
        <v/>
      </c>
      <c r="L629">
        <f>HYPERLINK("Not Found")</f>
        <v/>
      </c>
      <c r="M629" t="inlineStr">
        <is>
          <t>London, United Kingdom</t>
        </is>
      </c>
      <c r="N629" t="inlineStr">
        <is>
          <t>15,000</t>
        </is>
      </c>
      <c r="O629" t="inlineStr">
        <is>
          <t>Commercial Real Estate</t>
        </is>
      </c>
      <c r="P629" t="inlineStr">
        <is>
          <t>project management,advisory,transaction services</t>
        </is>
      </c>
      <c r="Q629" t="inlineStr">
        <is>
          <t>Not Found</t>
        </is>
      </c>
    </row>
    <row r="630">
      <c r="A630" t="inlineStr">
        <is>
          <t>57df8410a6da980ad27a3ffa</t>
        </is>
      </c>
      <c r="B630" t="inlineStr">
        <is>
          <t>James Daden</t>
        </is>
      </c>
      <c r="C630">
        <f>HYPERLINK("http://www.linkedin.com/in/james-daden-b71884b5")</f>
        <v/>
      </c>
      <c r="D630" t="inlineStr">
        <is>
          <t>Not Found</t>
        </is>
      </c>
      <c r="E630" t="inlineStr">
        <is>
          <t>Project Director</t>
        </is>
      </c>
      <c r="F630">
        <f>HYPERLINK("https://app.apollo.io/#/people/57df8410a6da980ad27a3ffa")</f>
        <v/>
      </c>
      <c r="G630" t="inlineStr">
        <is>
          <t>CBRE Global Workplace Solutions (GWS)</t>
        </is>
      </c>
      <c r="H630">
        <f>HYPERLINK("https://app.apollo.io/#/accounts/6509fed6f449800001b69a15")</f>
        <v/>
      </c>
      <c r="I630">
        <f>HYPERLINK("http://www.coor.com/")</f>
        <v/>
      </c>
      <c r="J630">
        <f>HYPERLINK("http://www.linkedin.com/company/cbre-gws")</f>
        <v/>
      </c>
      <c r="K630">
        <f>HYPERLINK("Not Found")</f>
        <v/>
      </c>
      <c r="L630">
        <f>HYPERLINK("Not Found")</f>
        <v/>
      </c>
      <c r="M630" t="inlineStr">
        <is>
          <t>United Kingdom</t>
        </is>
      </c>
      <c r="N630" t="inlineStr">
        <is>
          <t>15,000</t>
        </is>
      </c>
      <c r="O630" t="inlineStr">
        <is>
          <t>Commercial Real Estate</t>
        </is>
      </c>
      <c r="P630" t="inlineStr">
        <is>
          <t>project management,advisory,transaction services</t>
        </is>
      </c>
      <c r="Q630" t="inlineStr">
        <is>
          <t>Not Found</t>
        </is>
      </c>
    </row>
    <row r="631">
      <c r="A631" t="inlineStr">
        <is>
          <t>54ebcf877468694311497f2a</t>
        </is>
      </c>
      <c r="B631" t="inlineStr">
        <is>
          <t>Emma Silvey</t>
        </is>
      </c>
      <c r="C631">
        <f>HYPERLINK("http://www.linkedin.com/in/emma-silvey-2ba70312")</f>
        <v/>
      </c>
      <c r="D631" t="inlineStr">
        <is>
          <t>Not Found</t>
        </is>
      </c>
      <c r="E631" t="inlineStr">
        <is>
          <t>Project Director</t>
        </is>
      </c>
      <c r="F631">
        <f>HYPERLINK("https://app.apollo.io/#/people/54ebcf877468694311497f2a")</f>
        <v/>
      </c>
      <c r="G631" t="inlineStr">
        <is>
          <t>Robertson Group</t>
        </is>
      </c>
      <c r="H631">
        <f>HYPERLINK("https://app.apollo.io/#/organizations/54a120e469702d97c110ad02")</f>
        <v/>
      </c>
      <c r="I631">
        <f>HYPERLINK("http://www.robertson.hu/")</f>
        <v/>
      </c>
      <c r="J631">
        <f>HYPERLINK("http://www.linkedin.com/company/robertsongroup")</f>
        <v/>
      </c>
      <c r="K631">
        <f>HYPERLINK("Not Found")</f>
        <v/>
      </c>
      <c r="L631">
        <f>HYPERLINK("https://www.facebook.com/RobertsonIGroup/")</f>
        <v/>
      </c>
      <c r="M631" t="inlineStr">
        <is>
          <t>Stirling, United Kingdom</t>
        </is>
      </c>
      <c r="N631" t="inlineStr">
        <is>
          <t>50</t>
        </is>
      </c>
      <c r="O631" t="inlineStr">
        <is>
          <t>Commercial Real Estate</t>
        </is>
      </c>
      <c r="P631" t="inlineStr">
        <is>
          <t>landlord representation,office properties,investment transactions</t>
        </is>
      </c>
      <c r="Q631" t="inlineStr">
        <is>
          <t>Not Found</t>
        </is>
      </c>
    </row>
    <row r="632">
      <c r="A632" t="inlineStr">
        <is>
          <t>54a5ef8374686938ac0ad8b4</t>
        </is>
      </c>
      <c r="B632" t="inlineStr">
        <is>
          <t>Azita Dezfouli</t>
        </is>
      </c>
      <c r="C632">
        <f>HYPERLINK("http://www.linkedin.com/in/azitadezfouli")</f>
        <v/>
      </c>
      <c r="D632" t="inlineStr">
        <is>
          <t>Not Found</t>
        </is>
      </c>
      <c r="E632" t="inlineStr">
        <is>
          <t>Associate Director</t>
        </is>
      </c>
      <c r="F632">
        <f>HYPERLINK("https://app.apollo.io/#/people/54a5ef8374686938ac0ad8b4")</f>
        <v/>
      </c>
      <c r="G632" t="inlineStr">
        <is>
          <t>Colliers</t>
        </is>
      </c>
      <c r="H632">
        <f>HYPERLINK("https://app.apollo.io/#/accounts/64aaf6c63d556a0001e8eda6")</f>
        <v/>
      </c>
      <c r="I632">
        <f>HYPERLINK("http://www.colliers.com/")</f>
        <v/>
      </c>
      <c r="J632">
        <f>HYPERLINK("http://www.linkedin.com/company/colliers")</f>
        <v/>
      </c>
      <c r="K632">
        <f>HYPERLINK("https://twitter.com/Colliers")</f>
        <v/>
      </c>
      <c r="L632">
        <f>HYPERLINK("https://facebook.com/colliersinternational/")</f>
        <v/>
      </c>
      <c r="M632" t="inlineStr">
        <is>
          <t>Amersham, United Kingdom</t>
        </is>
      </c>
      <c r="N632" t="inlineStr">
        <is>
          <t>25,000</t>
        </is>
      </c>
      <c r="O632" t="inlineStr">
        <is>
          <t>Commercial Real Estate</t>
        </is>
      </c>
      <c r="P632" t="inlineStr">
        <is>
          <t>brokerage &amp; agency,corporate solutions,investment services</t>
        </is>
      </c>
      <c r="Q632" t="inlineStr">
        <is>
          <t>Not Found</t>
        </is>
      </c>
    </row>
    <row r="633">
      <c r="A633" t="inlineStr">
        <is>
          <t>57e09ddea6da981bf1ecc0e6</t>
        </is>
      </c>
      <c r="B633" t="inlineStr">
        <is>
          <t>Abbie Willcox</t>
        </is>
      </c>
      <c r="C633">
        <f>HYPERLINK("http://www.linkedin.com/in/abbie-willcox-bba252b3")</f>
        <v/>
      </c>
      <c r="D633" t="inlineStr">
        <is>
          <t>Not Found</t>
        </is>
      </c>
      <c r="E633" t="inlineStr">
        <is>
          <t>Centre Director</t>
        </is>
      </c>
      <c r="F633">
        <f>HYPERLINK("https://app.apollo.io/#/people/57e09ddea6da981bf1ecc0e6")</f>
        <v/>
      </c>
      <c r="G633" t="inlineStr">
        <is>
          <t>Hexagon Business Centres</t>
        </is>
      </c>
      <c r="H633">
        <f>HYPERLINK("https://app.apollo.io/#/organizations/556cfe9b736964123da66700")</f>
        <v/>
      </c>
      <c r="I633">
        <f>HYPERLINK("http://www.hexagonbusinesscentres.co.uk/")</f>
        <v/>
      </c>
      <c r="J633">
        <f>HYPERLINK("http://www.linkedin.com/company/hexagon-business-centres")</f>
        <v/>
      </c>
      <c r="K633">
        <f>HYPERLINK("https://twitter.com/hexagonbusiness")</f>
        <v/>
      </c>
      <c r="L633">
        <f>HYPERLINK("Not Found")</f>
        <v/>
      </c>
      <c r="M633" t="inlineStr">
        <is>
          <t>Oxford, United Kingdom</t>
        </is>
      </c>
      <c r="N633" t="inlineStr">
        <is>
          <t>2</t>
        </is>
      </c>
      <c r="O633" t="inlineStr">
        <is>
          <t>Commercial Real Estate</t>
        </is>
      </c>
      <c r="P633" t="inlineStr">
        <is>
          <t>easy in,admin support,rent a desk,telephone answering</t>
        </is>
      </c>
      <c r="Q633" t="inlineStr">
        <is>
          <t>Not Found</t>
        </is>
      </c>
    </row>
    <row r="634">
      <c r="A634" t="inlineStr">
        <is>
          <t>601d95268ef7c20001cbf1ad</t>
        </is>
      </c>
      <c r="B634" t="inlineStr">
        <is>
          <t>Sean Trotter</t>
        </is>
      </c>
      <c r="C634">
        <f>HYPERLINK("http://www.linkedin.com/in/sean-trotter-a5937048")</f>
        <v/>
      </c>
      <c r="D634" t="inlineStr">
        <is>
          <t>Not Found</t>
        </is>
      </c>
      <c r="E634" t="inlineStr">
        <is>
          <t>Divisional Director</t>
        </is>
      </c>
      <c r="F634">
        <f>HYPERLINK("https://app.apollo.io/#/people/601d95268ef7c20001cbf1ad")</f>
        <v/>
      </c>
      <c r="G634" t="inlineStr">
        <is>
          <t>Go Plant Fleet Services Ltd</t>
        </is>
      </c>
      <c r="H634">
        <f>HYPERLINK("https://app.apollo.io/#/accounts/6578aea803912001ae665add")</f>
        <v/>
      </c>
      <c r="I634">
        <f>HYPERLINK("http://www.go-plant.co.uk/")</f>
        <v/>
      </c>
      <c r="J634">
        <f>HYPERLINK("http://www.linkedin.com/company/go-plant-fleet-services-ltd")</f>
        <v/>
      </c>
      <c r="K634">
        <f>HYPERLINK("Not Found")</f>
        <v/>
      </c>
      <c r="L634">
        <f>HYPERLINK("https://www.facebook.com/GoPlantFleetServices/")</f>
        <v/>
      </c>
      <c r="M634" t="inlineStr">
        <is>
          <t>England, United Kingdom</t>
        </is>
      </c>
      <c r="N634" t="inlineStr">
        <is>
          <t>220</t>
        </is>
      </c>
      <c r="O634" t="inlineStr">
        <is>
          <t>Commercial Real Estate</t>
        </is>
      </c>
      <c r="P634" t="inlineStr">
        <is>
          <t>fleet management &amp; maintenance,extensive fleet operating knowledge</t>
        </is>
      </c>
      <c r="Q634" t="inlineStr">
        <is>
          <t>Not Found</t>
        </is>
      </c>
    </row>
    <row r="635">
      <c r="A635" t="inlineStr">
        <is>
          <t>65335e491775f6000166cd91</t>
        </is>
      </c>
      <c r="B635" t="inlineStr">
        <is>
          <t>Kurt Mroncz</t>
        </is>
      </c>
      <c r="C635">
        <f>HYPERLINK("http://www.linkedin.com/in/kurt-mroncz-942793")</f>
        <v/>
      </c>
      <c r="D635" t="inlineStr">
        <is>
          <t>Not Found</t>
        </is>
      </c>
      <c r="E635" t="inlineStr">
        <is>
          <t>Managing Director</t>
        </is>
      </c>
      <c r="F635">
        <f>HYPERLINK("https://app.apollo.io/#/people/65335e491775f6000166cd91")</f>
        <v/>
      </c>
      <c r="G635" t="inlineStr">
        <is>
          <t>Offices iQ</t>
        </is>
      </c>
      <c r="H635">
        <f>HYPERLINK("https://app.apollo.io/#/organizations/5a9cf39ba6da98d99a39ef15")</f>
        <v/>
      </c>
      <c r="I635">
        <f>HYPERLINK("http://www.officesiq.com/")</f>
        <v/>
      </c>
      <c r="J635">
        <f>HYPERLINK("http://www.linkedin.com/company/offices-iq")</f>
        <v/>
      </c>
      <c r="K635">
        <f>HYPERLINK("https://twitter.com/OfficesiQ")</f>
        <v/>
      </c>
      <c r="L635">
        <f>HYPERLINK("https://www.facebook.com/OfficesiQ/")</f>
        <v/>
      </c>
      <c r="M635" t="inlineStr">
        <is>
          <t>London, United Kingdom</t>
        </is>
      </c>
      <c r="N635" t="inlineStr">
        <is>
          <t>12</t>
        </is>
      </c>
      <c r="O635" t="inlineStr">
        <is>
          <t>Commercial Real Estate</t>
        </is>
      </c>
      <c r="P635" t="inlineStr">
        <is>
          <t>flexible workspace search,office search,office space</t>
        </is>
      </c>
      <c r="Q635" t="inlineStr">
        <is>
          <t>Not Found</t>
        </is>
      </c>
    </row>
    <row r="636">
      <c r="A636" t="inlineStr">
        <is>
          <t>57d680eda6da985421aa24d6</t>
        </is>
      </c>
      <c r="B636" t="inlineStr">
        <is>
          <t>Dane Hammond</t>
        </is>
      </c>
      <c r="C636">
        <f>HYPERLINK("http://www.linkedin.com/in/dane-hammond-286bb044")</f>
        <v/>
      </c>
      <c r="D636" t="inlineStr">
        <is>
          <t>Not Found</t>
        </is>
      </c>
      <c r="E636" t="inlineStr">
        <is>
          <t>Projects Director</t>
        </is>
      </c>
      <c r="F636">
        <f>HYPERLINK("https://app.apollo.io/#/people/57d680eda6da985421aa24d6")</f>
        <v/>
      </c>
      <c r="G636" t="inlineStr">
        <is>
          <t>CBRE Global Workplace Solutions (GWS)</t>
        </is>
      </c>
      <c r="H636">
        <f>HYPERLINK("https://app.apollo.io/#/accounts/6509fed6f449800001b69a15")</f>
        <v/>
      </c>
      <c r="I636">
        <f>HYPERLINK("http://www.coor.com/")</f>
        <v/>
      </c>
      <c r="J636">
        <f>HYPERLINK("http://www.linkedin.com/company/cbre-gws")</f>
        <v/>
      </c>
      <c r="K636">
        <f>HYPERLINK("Not Found")</f>
        <v/>
      </c>
      <c r="L636">
        <f>HYPERLINK("Not Found")</f>
        <v/>
      </c>
      <c r="M636" t="inlineStr">
        <is>
          <t>Walliswood, United Kingdom</t>
        </is>
      </c>
      <c r="N636" t="inlineStr">
        <is>
          <t>15,000</t>
        </is>
      </c>
      <c r="O636" t="inlineStr">
        <is>
          <t>Commercial Real Estate</t>
        </is>
      </c>
      <c r="P636" t="inlineStr">
        <is>
          <t>project management,advisory,transaction services</t>
        </is>
      </c>
      <c r="Q636" t="inlineStr">
        <is>
          <t>Not Found</t>
        </is>
      </c>
    </row>
    <row r="637">
      <c r="A637" t="inlineStr">
        <is>
          <t>56492a95a6da9843c1004c7b</t>
        </is>
      </c>
      <c r="B637" t="inlineStr">
        <is>
          <t>Katie Hirst</t>
        </is>
      </c>
      <c r="C637">
        <f>HYPERLINK("http://www.linkedin.com/in/katiehirst")</f>
        <v/>
      </c>
      <c r="D637" t="inlineStr">
        <is>
          <t>Not Found</t>
        </is>
      </c>
      <c r="E637" t="inlineStr">
        <is>
          <t>Director of Marketing</t>
        </is>
      </c>
      <c r="F637">
        <f>HYPERLINK("https://app.apollo.io/#/people/56492a95a6da9843c1004c7b")</f>
        <v/>
      </c>
      <c r="G637" t="inlineStr">
        <is>
          <t>Brasier Freeth</t>
        </is>
      </c>
      <c r="H637">
        <f>HYPERLINK("https://app.apollo.io/#/accounts/6578bf3accf69c02cc54f192")</f>
        <v/>
      </c>
      <c r="I637">
        <f>HYPERLINK("http://www.brasierfreeth.com/")</f>
        <v/>
      </c>
      <c r="J637">
        <f>HYPERLINK("http://www.linkedin.com/company/brasier-freeth-llp")</f>
        <v/>
      </c>
      <c r="K637">
        <f>HYPERLINK("https://twitter.com/brasierfreeth")</f>
        <v/>
      </c>
      <c r="L637">
        <f>HYPERLINK("Not Found")</f>
        <v/>
      </c>
      <c r="M637" t="inlineStr">
        <is>
          <t>England, United Kingdom</t>
        </is>
      </c>
      <c r="N637" t="inlineStr">
        <is>
          <t>37</t>
        </is>
      </c>
      <c r="O637" t="inlineStr">
        <is>
          <t>Commercial Real Estate</t>
        </is>
      </c>
      <c r="P637" t="inlineStr">
        <is>
          <t>commercial property acquisitions,disposals</t>
        </is>
      </c>
      <c r="Q637" t="inlineStr">
        <is>
          <t>Not Found</t>
        </is>
      </c>
    </row>
    <row r="638">
      <c r="A638" t="inlineStr">
        <is>
          <t>54a5051e746869367634f275</t>
        </is>
      </c>
      <c r="B638" t="inlineStr">
        <is>
          <t>Paul Shires</t>
        </is>
      </c>
      <c r="C638">
        <f>HYPERLINK("http://www.linkedin.com/in/paul-shires-b18b432b")</f>
        <v/>
      </c>
      <c r="D638" t="inlineStr">
        <is>
          <t>Not Found</t>
        </is>
      </c>
      <c r="E638" t="inlineStr">
        <is>
          <t>Managing Director</t>
        </is>
      </c>
      <c r="F638">
        <f>HYPERLINK("https://app.apollo.io/#/people/54a5051e746869367634f275")</f>
        <v/>
      </c>
      <c r="G638" t="inlineStr">
        <is>
          <t>Dawsongroup</t>
        </is>
      </c>
      <c r="H638">
        <f>HYPERLINK("https://app.apollo.io/#/accounts/6578bdff73d31601aeef274e")</f>
        <v/>
      </c>
      <c r="I638">
        <f>HYPERLINK("http://www.dawsongroup.co.uk/")</f>
        <v/>
      </c>
      <c r="J638">
        <f>HYPERLINK("http://www.linkedin.com/company/dawsongroup-plc")</f>
        <v/>
      </c>
      <c r="K638">
        <f>HYPERLINK("https://twitter.com/dawsongroupplc")</f>
        <v/>
      </c>
      <c r="L638">
        <f>HYPERLINK("Not Found")</f>
        <v/>
      </c>
      <c r="M638" t="inlineStr">
        <is>
          <t>Huddersfield, United Kingdom</t>
        </is>
      </c>
      <c r="N638" t="inlineStr">
        <is>
          <t>390</t>
        </is>
      </c>
      <c r="O638" t="inlineStr">
        <is>
          <t>Commercial Real Estate</t>
        </is>
      </c>
      <c r="P638" t="inlineStr">
        <is>
          <t>asset management,rental</t>
        </is>
      </c>
      <c r="Q638" t="inlineStr">
        <is>
          <t>Not Found</t>
        </is>
      </c>
    </row>
    <row r="639">
      <c r="A639" t="inlineStr">
        <is>
          <t>54c25823746869163937118f</t>
        </is>
      </c>
      <c r="B639" t="inlineStr">
        <is>
          <t>Tobias Cannon</t>
        </is>
      </c>
      <c r="C639">
        <f>HYPERLINK("http://www.linkedin.com/in/tobias-cannon-4169078b")</f>
        <v/>
      </c>
      <c r="D639" t="inlineStr">
        <is>
          <t>Not Found</t>
        </is>
      </c>
      <c r="E639" t="inlineStr">
        <is>
          <t>Associate Director</t>
        </is>
      </c>
      <c r="F639">
        <f>HYPERLINK("https://app.apollo.io/#/people/54c25823746869163937118f")</f>
        <v/>
      </c>
      <c r="G639" t="inlineStr">
        <is>
          <t>CBRE Global Workplace Solutions (GWS)</t>
        </is>
      </c>
      <c r="H639">
        <f>HYPERLINK("https://app.apollo.io/#/accounts/6509fed6f449800001b69a15")</f>
        <v/>
      </c>
      <c r="I639">
        <f>HYPERLINK("http://www.coor.com/")</f>
        <v/>
      </c>
      <c r="J639">
        <f>HYPERLINK("http://www.linkedin.com/company/cbre-gws")</f>
        <v/>
      </c>
      <c r="K639">
        <f>HYPERLINK("Not Found")</f>
        <v/>
      </c>
      <c r="L639">
        <f>HYPERLINK("Not Found")</f>
        <v/>
      </c>
      <c r="M639" t="inlineStr">
        <is>
          <t>London, United Kingdom</t>
        </is>
      </c>
      <c r="N639" t="inlineStr">
        <is>
          <t>15,000</t>
        </is>
      </c>
      <c r="O639" t="inlineStr">
        <is>
          <t>Commercial Real Estate</t>
        </is>
      </c>
      <c r="P639" t="inlineStr">
        <is>
          <t>project management,advisory,transaction services</t>
        </is>
      </c>
      <c r="Q639" t="inlineStr">
        <is>
          <t>Not Found</t>
        </is>
      </c>
    </row>
    <row r="640">
      <c r="A640" t="inlineStr">
        <is>
          <t>5ada950da6da9862ae83d3f3</t>
        </is>
      </c>
      <c r="B640" t="inlineStr">
        <is>
          <t>Billy Cahill</t>
        </is>
      </c>
      <c r="C640">
        <f>HYPERLINK("http://www.linkedin.com/in/billy-cahill-78b190115")</f>
        <v/>
      </c>
      <c r="D640" t="inlineStr">
        <is>
          <t>Not Found</t>
        </is>
      </c>
      <c r="E640" t="inlineStr">
        <is>
          <t>Account Director</t>
        </is>
      </c>
      <c r="F640">
        <f>HYPERLINK("https://app.apollo.io/#/people/5ada950da6da9862ae83d3f3")</f>
        <v/>
      </c>
      <c r="G640" t="inlineStr">
        <is>
          <t>CBRE Global Workplace Solutions (GWS)</t>
        </is>
      </c>
      <c r="H640">
        <f>HYPERLINK("https://app.apollo.io/#/accounts/6509fed6f449800001b69a15")</f>
        <v/>
      </c>
      <c r="I640">
        <f>HYPERLINK("http://www.coor.com/")</f>
        <v/>
      </c>
      <c r="J640">
        <f>HYPERLINK("http://www.linkedin.com/company/cbre-gws")</f>
        <v/>
      </c>
      <c r="K640">
        <f>HYPERLINK("Not Found")</f>
        <v/>
      </c>
      <c r="L640">
        <f>HYPERLINK("Not Found")</f>
        <v/>
      </c>
      <c r="M640" t="inlineStr">
        <is>
          <t>London, United Kingdom</t>
        </is>
      </c>
      <c r="N640" t="inlineStr">
        <is>
          <t>15,000</t>
        </is>
      </c>
      <c r="O640" t="inlineStr">
        <is>
          <t>Commercial Real Estate</t>
        </is>
      </c>
      <c r="P640" t="inlineStr">
        <is>
          <t>project management,advisory,transaction services</t>
        </is>
      </c>
      <c r="Q640" t="inlineStr">
        <is>
          <t>Not Found</t>
        </is>
      </c>
    </row>
    <row r="641">
      <c r="A641" t="inlineStr">
        <is>
          <t>54a4dc5374686932099cc768</t>
        </is>
      </c>
      <c r="B641" t="inlineStr">
        <is>
          <t>Justin Millington</t>
        </is>
      </c>
      <c r="C641">
        <f>HYPERLINK("http://www.linkedin.com/in/justinmillington")</f>
        <v/>
      </c>
      <c r="D641" t="inlineStr">
        <is>
          <t>Not Found</t>
        </is>
      </c>
      <c r="E641" t="inlineStr">
        <is>
          <t>Account Director</t>
        </is>
      </c>
      <c r="F641">
        <f>HYPERLINK("https://app.apollo.io/#/people/54a4dc5374686932099cc768")</f>
        <v/>
      </c>
      <c r="G641" t="inlineStr">
        <is>
          <t>CBRE Global Workplace Solutions (GWS)</t>
        </is>
      </c>
      <c r="H641">
        <f>HYPERLINK("https://app.apollo.io/#/accounts/6509fed6f449800001b69a15")</f>
        <v/>
      </c>
      <c r="I641">
        <f>HYPERLINK("http://www.coor.com/")</f>
        <v/>
      </c>
      <c r="J641">
        <f>HYPERLINK("http://www.linkedin.com/company/cbre-gws")</f>
        <v/>
      </c>
      <c r="K641">
        <f>HYPERLINK("Not Found")</f>
        <v/>
      </c>
      <c r="L641">
        <f>HYPERLINK("Not Found")</f>
        <v/>
      </c>
      <c r="M641" t="inlineStr">
        <is>
          <t>London, United Kingdom</t>
        </is>
      </c>
      <c r="N641" t="inlineStr">
        <is>
          <t>15,000</t>
        </is>
      </c>
      <c r="O641" t="inlineStr">
        <is>
          <t>Commercial Real Estate</t>
        </is>
      </c>
      <c r="P641" t="inlineStr">
        <is>
          <t>project management,advisory,transaction services</t>
        </is>
      </c>
      <c r="Q641" t="inlineStr">
        <is>
          <t>Not Found</t>
        </is>
      </c>
    </row>
    <row r="642">
      <c r="A642" t="inlineStr">
        <is>
          <t>626cab96e0101d0001b38735</t>
        </is>
      </c>
      <c r="B642" t="inlineStr">
        <is>
          <t>Lucie Messenger</t>
        </is>
      </c>
      <c r="C642">
        <f>HYPERLINK("http://www.linkedin.com/in/lucie-messenger-18923746")</f>
        <v/>
      </c>
      <c r="D642" t="inlineStr">
        <is>
          <t>Not Found</t>
        </is>
      </c>
      <c r="E642" t="inlineStr">
        <is>
          <t>ESG Director</t>
        </is>
      </c>
      <c r="F642">
        <f>HYPERLINK("https://app.apollo.io/#/people/626cab96e0101d0001b38735")</f>
        <v/>
      </c>
      <c r="G642" t="inlineStr">
        <is>
          <t>CBRE Global Workplace Solutions (GWS)</t>
        </is>
      </c>
      <c r="H642">
        <f>HYPERLINK("https://app.apollo.io/#/accounts/6509fed6f449800001b69a15")</f>
        <v/>
      </c>
      <c r="I642">
        <f>HYPERLINK("http://www.coor.com/")</f>
        <v/>
      </c>
      <c r="J642">
        <f>HYPERLINK("http://www.linkedin.com/company/cbre-gws")</f>
        <v/>
      </c>
      <c r="K642">
        <f>HYPERLINK("Not Found")</f>
        <v/>
      </c>
      <c r="L642">
        <f>HYPERLINK("Not Found")</f>
        <v/>
      </c>
      <c r="M642" t="inlineStr">
        <is>
          <t>Milton Keynes, United Kingdom</t>
        </is>
      </c>
      <c r="N642" t="inlineStr">
        <is>
          <t>15,000</t>
        </is>
      </c>
      <c r="O642" t="inlineStr">
        <is>
          <t>Commercial Real Estate</t>
        </is>
      </c>
      <c r="P642" t="inlineStr">
        <is>
          <t>project management,advisory,transaction services</t>
        </is>
      </c>
      <c r="Q642" t="inlineStr">
        <is>
          <t>Not Found</t>
        </is>
      </c>
    </row>
    <row r="643">
      <c r="A643" t="inlineStr">
        <is>
          <t>54a48db97468692fa21de450</t>
        </is>
      </c>
      <c r="B643" t="inlineStr">
        <is>
          <t>Lucy Gardiner</t>
        </is>
      </c>
      <c r="C643">
        <f>HYPERLINK("http://www.linkedin.com/in/lucy-gardiner-80726b38")</f>
        <v/>
      </c>
      <c r="D643" t="inlineStr">
        <is>
          <t>Not Found</t>
        </is>
      </c>
      <c r="E643" t="inlineStr">
        <is>
          <t>Associate Director</t>
        </is>
      </c>
      <c r="F643">
        <f>HYPERLINK("https://app.apollo.io/#/people/54a48db97468692fa21de450")</f>
        <v/>
      </c>
      <c r="G643" t="inlineStr">
        <is>
          <t>Bruce Gillingham Pollard</t>
        </is>
      </c>
      <c r="H643">
        <f>HYPERLINK("https://app.apollo.io/#/organizations/5e5775dc3f9e640001579e2f")</f>
        <v/>
      </c>
      <c r="I643">
        <f>HYPERLINK("http://www.brucegillinghampollard.com/")</f>
        <v/>
      </c>
      <c r="J643">
        <f>HYPERLINK("http://www.linkedin.com/company/bruce-gillingham-pollard")</f>
        <v/>
      </c>
      <c r="K643">
        <f>HYPERLINK("https://twitter.com/BGPtweet")</f>
        <v/>
      </c>
      <c r="L643">
        <f>HYPERLINK("https://facebook.com/pages/Bruce-Gillingham-Pollard/212124998814834")</f>
        <v/>
      </c>
      <c r="M643" t="inlineStr">
        <is>
          <t>United Kingdom</t>
        </is>
      </c>
      <c r="N643" t="inlineStr">
        <is>
          <t>30</t>
        </is>
      </c>
      <c r="O643" t="inlineStr">
        <is>
          <t>Commercial Real Estate</t>
        </is>
      </c>
      <c r="P643" t="inlineStr">
        <is>
          <t>retail,property,brokerage,development</t>
        </is>
      </c>
      <c r="Q643" t="inlineStr">
        <is>
          <t>Not Found</t>
        </is>
      </c>
    </row>
    <row r="644">
      <c r="A644" t="inlineStr">
        <is>
          <t>60fab9a129041a000154f454</t>
        </is>
      </c>
      <c r="B644" t="inlineStr">
        <is>
          <t>Tom Leeming</t>
        </is>
      </c>
      <c r="C644">
        <f>HYPERLINK("http://www.linkedin.com/in/tomleeming")</f>
        <v/>
      </c>
      <c r="D644" t="inlineStr">
        <is>
          <t>Not Found</t>
        </is>
      </c>
      <c r="E644" t="inlineStr">
        <is>
          <t>Development Director</t>
        </is>
      </c>
      <c r="F644">
        <f>HYPERLINK("https://app.apollo.io/#/people/60fab9a129041a000154f454")</f>
        <v/>
      </c>
      <c r="G644" t="inlineStr">
        <is>
          <t>Tritax Symmetry</t>
        </is>
      </c>
      <c r="H644">
        <f>HYPERLINK("https://app.apollo.io/#/organizations/5a9ccacea6da98d96d7ec351")</f>
        <v/>
      </c>
      <c r="I644">
        <f>HYPERLINK("http://www.tritaxsymmetry.com/")</f>
        <v/>
      </c>
      <c r="J644">
        <f>HYPERLINK("http://www.linkedin.com/company/tritaxsymmetry")</f>
        <v/>
      </c>
      <c r="K644">
        <f>HYPERLINK("https://twitter.com/tritaxsymmetry")</f>
        <v/>
      </c>
      <c r="L644">
        <f>HYPERLINK("Not Found")</f>
        <v/>
      </c>
      <c r="M644" t="inlineStr">
        <is>
          <t>Northampton, United Kingdom</t>
        </is>
      </c>
      <c r="N644" t="inlineStr">
        <is>
          <t>40</t>
        </is>
      </c>
      <c r="O644" t="inlineStr">
        <is>
          <t>Commercial Real Estate</t>
        </is>
      </c>
      <c r="P644" t="inlineStr">
        <is>
          <t>industrial warehouse units,bespoke buildings</t>
        </is>
      </c>
      <c r="Q644" t="inlineStr">
        <is>
          <t>Not Found</t>
        </is>
      </c>
    </row>
    <row r="645">
      <c r="A645" t="inlineStr">
        <is>
          <t>63a54fb760d9130001caa27d</t>
        </is>
      </c>
      <c r="B645" t="inlineStr">
        <is>
          <t>Emily Knowles</t>
        </is>
      </c>
      <c r="C645">
        <f>HYPERLINK("http://www.linkedin.com/in/emily-knowles-mrics-51228a63")</f>
        <v/>
      </c>
      <c r="D645" t="inlineStr">
        <is>
          <t>Not Found</t>
        </is>
      </c>
      <c r="E645" t="inlineStr">
        <is>
          <t>Associate Director</t>
        </is>
      </c>
      <c r="F645">
        <f>HYPERLINK("https://app.apollo.io/#/people/63a54fb760d9130001caa27d")</f>
        <v/>
      </c>
      <c r="G645" t="inlineStr">
        <is>
          <t>Colliers</t>
        </is>
      </c>
      <c r="H645">
        <f>HYPERLINK("https://app.apollo.io/#/accounts/64aaf6c63d556a0001e8eda6")</f>
        <v/>
      </c>
      <c r="I645">
        <f>HYPERLINK("http://www.colliers.com/")</f>
        <v/>
      </c>
      <c r="J645">
        <f>HYPERLINK("http://www.linkedin.com/company/colliers")</f>
        <v/>
      </c>
      <c r="K645">
        <f>HYPERLINK("https://twitter.com/Colliers")</f>
        <v/>
      </c>
      <c r="L645">
        <f>HYPERLINK("https://facebook.com/colliersinternational/")</f>
        <v/>
      </c>
      <c r="M645" t="inlineStr">
        <is>
          <t>England, United Kingdom</t>
        </is>
      </c>
      <c r="N645" t="inlineStr">
        <is>
          <t>25,000</t>
        </is>
      </c>
      <c r="O645" t="inlineStr">
        <is>
          <t>Commercial Real Estate</t>
        </is>
      </c>
      <c r="P645" t="inlineStr">
        <is>
          <t>brokerage &amp; agency,corporate solutions</t>
        </is>
      </c>
      <c r="Q645" t="inlineStr">
        <is>
          <t>Not Found</t>
        </is>
      </c>
    </row>
    <row r="646">
      <c r="A646" t="inlineStr">
        <is>
          <t>5d44bb9a80f93ec432b119b8</t>
        </is>
      </c>
      <c r="B646" t="inlineStr">
        <is>
          <t>Chris Strat</t>
        </is>
      </c>
      <c r="C646">
        <f>HYPERLINK("http://www.linkedin.com/in/chris-strat-aa27b557")</f>
        <v/>
      </c>
      <c r="D646" t="inlineStr">
        <is>
          <t>Not Found</t>
        </is>
      </c>
      <c r="E646" t="inlineStr">
        <is>
          <t>Associate Director</t>
        </is>
      </c>
      <c r="F646">
        <f>HYPERLINK("https://app.apollo.io/#/people/5d44bb9a80f93ec432b119b8")</f>
        <v/>
      </c>
      <c r="G646" t="inlineStr">
        <is>
          <t>Colliers</t>
        </is>
      </c>
      <c r="H646">
        <f>HYPERLINK("https://app.apollo.io/#/accounts/64aaf6c63d556a0001e8eda6")</f>
        <v/>
      </c>
      <c r="I646">
        <f>HYPERLINK("http://www.colliers.com/")</f>
        <v/>
      </c>
      <c r="J646">
        <f>HYPERLINK("http://www.linkedin.com/company/colliers")</f>
        <v/>
      </c>
      <c r="K646">
        <f>HYPERLINK("https://twitter.com/Colliers")</f>
        <v/>
      </c>
      <c r="L646">
        <f>HYPERLINK("https://facebook.com/colliersinternational/")</f>
        <v/>
      </c>
      <c r="M646" t="inlineStr">
        <is>
          <t>London, United Kingdom</t>
        </is>
      </c>
      <c r="N646" t="inlineStr">
        <is>
          <t>25,000</t>
        </is>
      </c>
      <c r="O646" t="inlineStr">
        <is>
          <t>Commercial Real Estate</t>
        </is>
      </c>
      <c r="P646" t="inlineStr">
        <is>
          <t>brokerage &amp; agency,corporate solutions</t>
        </is>
      </c>
      <c r="Q646" t="inlineStr">
        <is>
          <t>Not Found</t>
        </is>
      </c>
    </row>
    <row r="647">
      <c r="A647" t="inlineStr">
        <is>
          <t>607f396015e9310001ad8f24</t>
        </is>
      </c>
      <c r="B647" t="inlineStr">
        <is>
          <t>Andy Thomas</t>
        </is>
      </c>
      <c r="C647">
        <f>HYPERLINK("http://www.linkedin.com/in/andy-thomas-32824267")</f>
        <v/>
      </c>
      <c r="D647" t="inlineStr">
        <is>
          <t>Not Found</t>
        </is>
      </c>
      <c r="E647" t="inlineStr">
        <is>
          <t>Operations Director</t>
        </is>
      </c>
      <c r="F647">
        <f>HYPERLINK("https://app.apollo.io/#/people/607f396015e9310001ad8f24")</f>
        <v/>
      </c>
      <c r="G647" t="inlineStr">
        <is>
          <t>Downing</t>
        </is>
      </c>
      <c r="H647">
        <f>HYPERLINK("https://app.apollo.io/#/organizations/54a1399769702db45db35200")</f>
        <v/>
      </c>
      <c r="I647">
        <f>HYPERLINK("http://www.downing.com/")</f>
        <v/>
      </c>
      <c r="J647">
        <f>HYPERLINK("http://www.linkedin.com/company/downing")</f>
        <v/>
      </c>
      <c r="K647">
        <f>HYPERLINK("https://twitter.com/DowningGroup")</f>
        <v/>
      </c>
      <c r="L647">
        <f>HYPERLINK("https://facebook.com/pages/Downing/247574782037867")</f>
        <v/>
      </c>
      <c r="M647" t="inlineStr">
        <is>
          <t>Liverpool, United Kingdom</t>
        </is>
      </c>
      <c r="N647" t="inlineStr">
        <is>
          <t>130</t>
        </is>
      </c>
      <c r="O647" t="inlineStr">
        <is>
          <t>Commercial Real Estate</t>
        </is>
      </c>
      <c r="P647" t="inlineStr">
        <is>
          <t>development,student accommodation,construction</t>
        </is>
      </c>
      <c r="Q647" t="inlineStr">
        <is>
          <t>Not Found</t>
        </is>
      </c>
    </row>
    <row r="648">
      <c r="A648" t="inlineStr">
        <is>
          <t>557056aa73696469156e4b00</t>
        </is>
      </c>
      <c r="B648" t="inlineStr">
        <is>
          <t>James Boshier</t>
        </is>
      </c>
      <c r="C648">
        <f>HYPERLINK("http://www.linkedin.com/in/james-boshier-77b09026")</f>
        <v/>
      </c>
      <c r="D648" t="inlineStr">
        <is>
          <t>Not Found</t>
        </is>
      </c>
      <c r="E648" t="inlineStr">
        <is>
          <t>Director (north)</t>
        </is>
      </c>
      <c r="F648">
        <f>HYPERLINK("https://app.apollo.io/#/people/557056aa73696469156e4b00")</f>
        <v/>
      </c>
      <c r="G648" t="inlineStr">
        <is>
          <t>Everard Cole</t>
        </is>
      </c>
      <c r="H648">
        <f>HYPERLINK("https://app.apollo.io/#/organizations/5f463ebcb2729d0001485b22")</f>
        <v/>
      </c>
      <c r="I648">
        <f>HYPERLINK("http://www.everardcole.co.uk/")</f>
        <v/>
      </c>
      <c r="J648">
        <f>HYPERLINK("http://www.linkedin.com/company/everard-cole-ltd")</f>
        <v/>
      </c>
      <c r="K648">
        <f>HYPERLINK("Not Found")</f>
        <v/>
      </c>
      <c r="L648">
        <f>HYPERLINK("Not Found")</f>
        <v/>
      </c>
      <c r="M648" t="inlineStr">
        <is>
          <t>Leeds, United Kingdom</t>
        </is>
      </c>
      <c r="N648" t="inlineStr">
        <is>
          <t>5</t>
        </is>
      </c>
      <c r="O648" t="inlineStr">
        <is>
          <t>Commercial Real Estate</t>
        </is>
      </c>
      <c r="P648" t="inlineStr">
        <is>
          <t>business transfer agents,consultancy,lease renewals</t>
        </is>
      </c>
      <c r="Q648" t="inlineStr">
        <is>
          <t>Not Found</t>
        </is>
      </c>
    </row>
    <row r="649">
      <c r="A649" t="inlineStr">
        <is>
          <t>5acb43fda6da98c639d0bc8b</t>
        </is>
      </c>
      <c r="B649" t="inlineStr">
        <is>
          <t>James Hill</t>
        </is>
      </c>
      <c r="C649">
        <f>HYPERLINK("http://www.linkedin.com/in/james-hill-152069110")</f>
        <v/>
      </c>
      <c r="D649" t="inlineStr">
        <is>
          <t>Not Found</t>
        </is>
      </c>
      <c r="E649" t="inlineStr">
        <is>
          <t>Account Director</t>
        </is>
      </c>
      <c r="F649">
        <f>HYPERLINK("https://app.apollo.io/#/people/5acb43fda6da98c639d0bc8b")</f>
        <v/>
      </c>
      <c r="G649" t="inlineStr">
        <is>
          <t>CBRE Global Workplace Solutions (GWS)</t>
        </is>
      </c>
      <c r="H649">
        <f>HYPERLINK("https://app.apollo.io/#/accounts/6509fed6f449800001b69a15")</f>
        <v/>
      </c>
      <c r="I649">
        <f>HYPERLINK("http://www.coor.com/")</f>
        <v/>
      </c>
      <c r="J649">
        <f>HYPERLINK("http://www.linkedin.com/company/cbre-gws")</f>
        <v/>
      </c>
      <c r="K649">
        <f>HYPERLINK("Not Found")</f>
        <v/>
      </c>
      <c r="L649">
        <f>HYPERLINK("Not Found")</f>
        <v/>
      </c>
      <c r="M649" t="inlineStr">
        <is>
          <t>Glasgow, United Kingdom</t>
        </is>
      </c>
      <c r="N649" t="inlineStr">
        <is>
          <t>15,000</t>
        </is>
      </c>
      <c r="O649" t="inlineStr">
        <is>
          <t>Commercial Real Estate</t>
        </is>
      </c>
      <c r="P649" t="inlineStr">
        <is>
          <t>project management,advisory,transaction services</t>
        </is>
      </c>
      <c r="Q649" t="inlineStr">
        <is>
          <t>Not Found</t>
        </is>
      </c>
    </row>
    <row r="650">
      <c r="A650" t="inlineStr">
        <is>
          <t>57e11005a6da987dc46b98f3</t>
        </is>
      </c>
      <c r="B650" t="inlineStr">
        <is>
          <t>Sophie Crosbie</t>
        </is>
      </c>
      <c r="C650">
        <f>HYPERLINK("http://www.linkedin.com/in/sophie-crosbie-11bb80b7")</f>
        <v/>
      </c>
      <c r="D650" t="inlineStr">
        <is>
          <t>Not Found</t>
        </is>
      </c>
      <c r="E650" t="inlineStr">
        <is>
          <t>Associate Director</t>
        </is>
      </c>
      <c r="F650">
        <f>HYPERLINK("https://app.apollo.io/#/people/57e11005a6da987dc46b98f3")</f>
        <v/>
      </c>
      <c r="G650" t="inlineStr">
        <is>
          <t>Colliers</t>
        </is>
      </c>
      <c r="H650">
        <f>HYPERLINK("https://app.apollo.io/#/accounts/64aaf6c63d556a0001e8eda6")</f>
        <v/>
      </c>
      <c r="I650">
        <f>HYPERLINK("http://www.colliers.com/")</f>
        <v/>
      </c>
      <c r="J650">
        <f>HYPERLINK("http://www.linkedin.com/company/colliers")</f>
        <v/>
      </c>
      <c r="K650">
        <f>HYPERLINK("https://twitter.com/Colliers")</f>
        <v/>
      </c>
      <c r="L650">
        <f>HYPERLINK("https://facebook.com/colliersinternational/")</f>
        <v/>
      </c>
      <c r="M650" t="inlineStr">
        <is>
          <t>London, United Kingdom</t>
        </is>
      </c>
      <c r="N650" t="inlineStr">
        <is>
          <t>25,000</t>
        </is>
      </c>
      <c r="O650" t="inlineStr">
        <is>
          <t>Commercial Real Estate</t>
        </is>
      </c>
      <c r="P650" t="inlineStr">
        <is>
          <t>brokerage &amp; agency,corporate solutions</t>
        </is>
      </c>
      <c r="Q650" t="inlineStr">
        <is>
          <t>Not Found</t>
        </is>
      </c>
    </row>
    <row r="651">
      <c r="A651" t="inlineStr">
        <is>
          <t>5570960873696416b8523800</t>
        </is>
      </c>
      <c r="B651" t="inlineStr">
        <is>
          <t>Graham Weldon</t>
        </is>
      </c>
      <c r="C651">
        <f>HYPERLINK("http://www.linkedin.com/in/graham-weldon-marla-aa812756")</f>
        <v/>
      </c>
      <c r="D651" t="inlineStr">
        <is>
          <t>Not Found</t>
        </is>
      </c>
      <c r="E651" t="inlineStr">
        <is>
          <t>Regional Director</t>
        </is>
      </c>
      <c r="F651">
        <f>HYPERLINK("https://app.apollo.io/#/people/5570960873696416b8523800")</f>
        <v/>
      </c>
      <c r="G651" t="inlineStr">
        <is>
          <t>Leaders Romans Group</t>
        </is>
      </c>
      <c r="H651">
        <f>HYPERLINK("https://app.apollo.io/#/accounts/6578b8bc85cede01ae5c466b")</f>
        <v/>
      </c>
      <c r="I651">
        <f>HYPERLINK("http://www.lrg.co.uk/")</f>
        <v/>
      </c>
      <c r="J651">
        <f>HYPERLINK("http://www.linkedin.com/company/leaders-romans-group")</f>
        <v/>
      </c>
      <c r="K651">
        <f>HYPERLINK("Not Found")</f>
        <v/>
      </c>
      <c r="L651">
        <f>HYPERLINK("Not Found")</f>
        <v/>
      </c>
      <c r="M651" t="inlineStr">
        <is>
          <t>Chandler's Ford, United Kingdom</t>
        </is>
      </c>
      <c r="N651" t="inlineStr">
        <is>
          <t>2,600</t>
        </is>
      </c>
      <c r="O651" t="inlineStr">
        <is>
          <t>Commercial Real Estate</t>
        </is>
      </c>
      <c r="P651" t="inlineStr">
        <is>
          <t>estate agency,lettings,property investment</t>
        </is>
      </c>
      <c r="Q651" t="inlineStr">
        <is>
          <t>Not Found</t>
        </is>
      </c>
    </row>
    <row r="652">
      <c r="A652" t="inlineStr">
        <is>
          <t>54ab05407468690630055a1e</t>
        </is>
      </c>
      <c r="B652" t="inlineStr">
        <is>
          <t>Richard Prosser</t>
        </is>
      </c>
      <c r="C652">
        <f>HYPERLINK("http://www.linkedin.com/in/richard-prosser-aab2bb6")</f>
        <v/>
      </c>
      <c r="D652" t="inlineStr">
        <is>
          <t>Not Found</t>
        </is>
      </c>
      <c r="E652" t="inlineStr">
        <is>
          <t>Alliance Director</t>
        </is>
      </c>
      <c r="F652">
        <f>HYPERLINK("https://app.apollo.io/#/people/54ab05407468690630055a1e")</f>
        <v/>
      </c>
      <c r="G652" t="inlineStr">
        <is>
          <t>CBRE Global Workplace Solutions (GWS)</t>
        </is>
      </c>
      <c r="H652">
        <f>HYPERLINK("https://app.apollo.io/#/accounts/6509fed6f449800001b69a15")</f>
        <v/>
      </c>
      <c r="I652">
        <f>HYPERLINK("http://www.coor.com/")</f>
        <v/>
      </c>
      <c r="J652">
        <f>HYPERLINK("http://www.linkedin.com/company/cbre-gws")</f>
        <v/>
      </c>
      <c r="K652">
        <f>HYPERLINK("Not Found")</f>
        <v/>
      </c>
      <c r="L652">
        <f>HYPERLINK("Not Found")</f>
        <v/>
      </c>
      <c r="M652" t="inlineStr">
        <is>
          <t>Ramsgate, United Kingdom</t>
        </is>
      </c>
      <c r="N652" t="inlineStr">
        <is>
          <t>15,000</t>
        </is>
      </c>
      <c r="O652" t="inlineStr">
        <is>
          <t>Commercial Real Estate</t>
        </is>
      </c>
      <c r="P652" t="inlineStr">
        <is>
          <t>project management,advisory,transaction services</t>
        </is>
      </c>
      <c r="Q652" t="inlineStr">
        <is>
          <t>Not Found</t>
        </is>
      </c>
    </row>
    <row r="653">
      <c r="A653" t="inlineStr">
        <is>
          <t>57dd510fa6da987b519a0989</t>
        </is>
      </c>
      <c r="B653" t="inlineStr">
        <is>
          <t>Siddhika Shah</t>
        </is>
      </c>
      <c r="C653">
        <f>HYPERLINK("http://www.linkedin.com/in/siddhika-shah-646966a7")</f>
        <v/>
      </c>
      <c r="D653" t="inlineStr">
        <is>
          <t>Not Found</t>
        </is>
      </c>
      <c r="E653" t="inlineStr">
        <is>
          <t>Associate Director</t>
        </is>
      </c>
      <c r="F653">
        <f>HYPERLINK("https://app.apollo.io/#/people/57dd510fa6da987b519a0989")</f>
        <v/>
      </c>
      <c r="G653" t="inlineStr">
        <is>
          <t>Colliers</t>
        </is>
      </c>
      <c r="H653">
        <f>HYPERLINK("https://app.apollo.io/#/accounts/64aaf6c63d556a0001e8eda6")</f>
        <v/>
      </c>
      <c r="I653">
        <f>HYPERLINK("http://www.colliers.com/")</f>
        <v/>
      </c>
      <c r="J653">
        <f>HYPERLINK("http://www.linkedin.com/company/colliers")</f>
        <v/>
      </c>
      <c r="K653">
        <f>HYPERLINK("https://twitter.com/Colliers")</f>
        <v/>
      </c>
      <c r="L653">
        <f>HYPERLINK("https://facebook.com/colliersinternational/")</f>
        <v/>
      </c>
      <c r="M653" t="inlineStr">
        <is>
          <t>London, United Kingdom</t>
        </is>
      </c>
      <c r="N653" t="inlineStr">
        <is>
          <t>25,000</t>
        </is>
      </c>
      <c r="O653" t="inlineStr">
        <is>
          <t>Commercial Real Estate</t>
        </is>
      </c>
      <c r="P653" t="inlineStr">
        <is>
          <t>brokerage &amp; agency,corporate solutions</t>
        </is>
      </c>
      <c r="Q653" t="inlineStr">
        <is>
          <t>Not Found</t>
        </is>
      </c>
    </row>
    <row r="654">
      <c r="A654" t="inlineStr">
        <is>
          <t>5f0c5241d108cd008cc15447</t>
        </is>
      </c>
      <c r="B654" t="inlineStr">
        <is>
          <t>Laura Bennett</t>
        </is>
      </c>
      <c r="C654">
        <f>HYPERLINK("http://www.linkedin.com/in/laura-bennett-1a1b4417")</f>
        <v/>
      </c>
      <c r="D654" t="inlineStr">
        <is>
          <t>Not Found</t>
        </is>
      </c>
      <c r="E654" t="inlineStr">
        <is>
          <t>Account Director</t>
        </is>
      </c>
      <c r="F654">
        <f>HYPERLINK("https://app.apollo.io/#/people/5f0c5241d108cd008cc15447")</f>
        <v/>
      </c>
      <c r="G654" t="inlineStr">
        <is>
          <t>CBRE Global Workplace Solutions (GWS)</t>
        </is>
      </c>
      <c r="H654">
        <f>HYPERLINK("https://app.apollo.io/#/accounts/6509fed6f449800001b69a15")</f>
        <v/>
      </c>
      <c r="I654">
        <f>HYPERLINK("http://www.coor.com/")</f>
        <v/>
      </c>
      <c r="J654">
        <f>HYPERLINK("http://www.linkedin.com/company/cbre-gws")</f>
        <v/>
      </c>
      <c r="K654">
        <f>HYPERLINK("Not Found")</f>
        <v/>
      </c>
      <c r="L654">
        <f>HYPERLINK("Not Found")</f>
        <v/>
      </c>
      <c r="M654" t="inlineStr">
        <is>
          <t>London, United Kingdom</t>
        </is>
      </c>
      <c r="N654" t="inlineStr">
        <is>
          <t>15,000</t>
        </is>
      </c>
      <c r="O654" t="inlineStr">
        <is>
          <t>Commercial Real Estate</t>
        </is>
      </c>
      <c r="P654" t="inlineStr">
        <is>
          <t>project management,advisory,transaction services</t>
        </is>
      </c>
      <c r="Q654" t="inlineStr">
        <is>
          <t>Not Found</t>
        </is>
      </c>
    </row>
    <row r="655">
      <c r="A655" t="inlineStr">
        <is>
          <t>54a2135e7468692e7190d10a</t>
        </is>
      </c>
      <c r="B655" t="inlineStr">
        <is>
          <t>Adam Elias</t>
        </is>
      </c>
      <c r="C655">
        <f>HYPERLINK("http://www.linkedin.com/in/adam-elias-a52b65a3")</f>
        <v/>
      </c>
      <c r="D655" t="inlineStr">
        <is>
          <t>Not Found</t>
        </is>
      </c>
      <c r="E655" t="inlineStr">
        <is>
          <t>Associate Director</t>
        </is>
      </c>
      <c r="F655">
        <f>HYPERLINK("https://app.apollo.io/#/people/54a2135e7468692e7190d10a")</f>
        <v/>
      </c>
      <c r="G655" t="inlineStr">
        <is>
          <t>CBRE Global Workplace Solutions (GWS)</t>
        </is>
      </c>
      <c r="H655">
        <f>HYPERLINK("https://app.apollo.io/#/accounts/6509fed6f449800001b69a15")</f>
        <v/>
      </c>
      <c r="I655">
        <f>HYPERLINK("http://www.coor.com/")</f>
        <v/>
      </c>
      <c r="J655">
        <f>HYPERLINK("http://www.linkedin.com/company/cbre-gws")</f>
        <v/>
      </c>
      <c r="K655">
        <f>HYPERLINK("Not Found")</f>
        <v/>
      </c>
      <c r="L655">
        <f>HYPERLINK("Not Found")</f>
        <v/>
      </c>
      <c r="M655" t="inlineStr">
        <is>
          <t>Guildford, United Kingdom</t>
        </is>
      </c>
      <c r="N655" t="inlineStr">
        <is>
          <t>15,000</t>
        </is>
      </c>
      <c r="O655" t="inlineStr">
        <is>
          <t>Commercial Real Estate</t>
        </is>
      </c>
      <c r="P655" t="inlineStr">
        <is>
          <t>project management,advisory,transaction services</t>
        </is>
      </c>
      <c r="Q655" t="inlineStr">
        <is>
          <t>Not Found</t>
        </is>
      </c>
    </row>
    <row r="656">
      <c r="A656" t="inlineStr">
        <is>
          <t>54a713fc7468696de7163713</t>
        </is>
      </c>
      <c r="B656" t="inlineStr">
        <is>
          <t>Richard Kalmar</t>
        </is>
      </c>
      <c r="C656">
        <f>HYPERLINK("http://www.linkedin.com/in/richard-kalmar-88541b13")</f>
        <v/>
      </c>
      <c r="D656" t="inlineStr">
        <is>
          <t>Not Found</t>
        </is>
      </c>
      <c r="E656" t="inlineStr">
        <is>
          <t>Managing Director</t>
        </is>
      </c>
      <c r="F656">
        <f>HYPERLINK("https://app.apollo.io/#/people/54a713fc7468696de7163713")</f>
        <v/>
      </c>
      <c r="G656" t="inlineStr">
        <is>
          <t>KALMARs</t>
        </is>
      </c>
      <c r="H656">
        <f>HYPERLINK("https://app.apollo.io/#/organizations/556dc8e57369641276109201")</f>
        <v/>
      </c>
      <c r="I656">
        <f>HYPERLINK("http://www.kalmars.com/")</f>
        <v/>
      </c>
      <c r="J656">
        <f>HYPERLINK("http://www.linkedin.com/company/kalmars")</f>
        <v/>
      </c>
      <c r="K656">
        <f>HYPERLINK("https://twitter.com/kalmarsltd")</f>
        <v/>
      </c>
      <c r="L656">
        <f>HYPERLINK("https://www.facebook.com/profile.php")</f>
        <v/>
      </c>
      <c r="M656" t="inlineStr">
        <is>
          <t>London, United Kingdom</t>
        </is>
      </c>
      <c r="N656" t="inlineStr">
        <is>
          <t>18</t>
        </is>
      </c>
      <c r="O656" t="inlineStr">
        <is>
          <t>Commercial Real Estate</t>
        </is>
      </c>
      <c r="P656" t="inlineStr">
        <is>
          <t>estate agent,sales,marketing,development</t>
        </is>
      </c>
      <c r="Q656" t="inlineStr">
        <is>
          <t>Not Found</t>
        </is>
      </c>
    </row>
    <row r="657">
      <c r="A657" t="inlineStr">
        <is>
          <t>633d4b9ca9677b00014f7c08</t>
        </is>
      </c>
      <c r="B657" t="inlineStr">
        <is>
          <t>Matt Roberts</t>
        </is>
      </c>
      <c r="C657">
        <f>HYPERLINK("http://www.linkedin.com/in/matt-roberts-3a085337")</f>
        <v/>
      </c>
      <c r="D657" t="inlineStr">
        <is>
          <t>Not Found</t>
        </is>
      </c>
      <c r="E657" t="inlineStr">
        <is>
          <t>Associate Director</t>
        </is>
      </c>
      <c r="F657">
        <f>HYPERLINK("https://app.apollo.io/#/people/633d4b9ca9677b00014f7c08")</f>
        <v/>
      </c>
      <c r="G657" t="inlineStr">
        <is>
          <t>Colliers</t>
        </is>
      </c>
      <c r="H657">
        <f>HYPERLINK("https://app.apollo.io/#/accounts/64aaf6c63d556a0001e8eda6")</f>
        <v/>
      </c>
      <c r="I657">
        <f>HYPERLINK("http://www.colliers.com/")</f>
        <v/>
      </c>
      <c r="J657">
        <f>HYPERLINK("http://www.linkedin.com/company/colliers")</f>
        <v/>
      </c>
      <c r="K657">
        <f>HYPERLINK("https://twitter.com/Colliers")</f>
        <v/>
      </c>
      <c r="L657">
        <f>HYPERLINK("https://facebook.com/colliersinternational/")</f>
        <v/>
      </c>
      <c r="M657" t="inlineStr">
        <is>
          <t>London, United Kingdom</t>
        </is>
      </c>
      <c r="N657" t="inlineStr">
        <is>
          <t>25,000</t>
        </is>
      </c>
      <c r="O657" t="inlineStr">
        <is>
          <t>Commercial Real Estate</t>
        </is>
      </c>
      <c r="P657" t="inlineStr">
        <is>
          <t>brokerage &amp; agency,corporate solutions</t>
        </is>
      </c>
      <c r="Q657" t="inlineStr">
        <is>
          <t>Not Found</t>
        </is>
      </c>
    </row>
    <row r="658">
      <c r="A658" t="inlineStr">
        <is>
          <t>60fab550799a07000138dfbd</t>
        </is>
      </c>
      <c r="B658" t="inlineStr">
        <is>
          <t>Jody Bishop</t>
        </is>
      </c>
      <c r="C658">
        <f>HYPERLINK("http://www.linkedin.com/in/jody-bishop-05988a9b")</f>
        <v/>
      </c>
      <c r="D658" t="inlineStr">
        <is>
          <t>Not Found</t>
        </is>
      </c>
      <c r="E658" t="inlineStr">
        <is>
          <t>Construction director</t>
        </is>
      </c>
      <c r="F658">
        <f>HYPERLINK("https://app.apollo.io/#/people/60fab550799a07000138dfbd")</f>
        <v/>
      </c>
      <c r="G658" t="inlineStr">
        <is>
          <t>Romulus</t>
        </is>
      </c>
      <c r="H658">
        <f>HYPERLINK("https://app.apollo.io/#/organizations/619091c8afa262000168de4b")</f>
        <v/>
      </c>
      <c r="I658">
        <f>HYPERLINK("http://www.romulusuk.com/")</f>
        <v/>
      </c>
      <c r="J658">
        <f>HYPERLINK("http://www.linkedin.com/company/romulus-construction-limited")</f>
        <v/>
      </c>
      <c r="K658">
        <f>HYPERLINK("Not Found")</f>
        <v/>
      </c>
      <c r="L658">
        <f>HYPERLINK("Not Found")</f>
        <v/>
      </c>
      <c r="M658" t="inlineStr">
        <is>
          <t>London, United Kingdom</t>
        </is>
      </c>
      <c r="N658" t="inlineStr">
        <is>
          <t>41</t>
        </is>
      </c>
      <c r="O658" t="inlineStr">
        <is>
          <t>Commercial Real Estate</t>
        </is>
      </c>
      <c r="P658" t="inlineStr">
        <is>
          <t>commercial real estate,serviced offices,retail</t>
        </is>
      </c>
      <c r="Q658" t="inlineStr">
        <is>
          <t>Not Found</t>
        </is>
      </c>
    </row>
    <row r="659">
      <c r="A659" t="inlineStr">
        <is>
          <t>6347f53938ae7900014519c5</t>
        </is>
      </c>
      <c r="B659" t="inlineStr">
        <is>
          <t>Fran Board</t>
        </is>
      </c>
      <c r="C659">
        <f>HYPERLINK("http://www.linkedin.com/in/fran-board")</f>
        <v/>
      </c>
      <c r="D659" t="inlineStr">
        <is>
          <t>Not Found</t>
        </is>
      </c>
      <c r="E659" t="inlineStr">
        <is>
          <t>Marketing Director</t>
        </is>
      </c>
      <c r="F659">
        <f>HYPERLINK("https://app.apollo.io/#/people/6347f53938ae7900014519c5")</f>
        <v/>
      </c>
      <c r="G659" t="inlineStr">
        <is>
          <t>Moodsonic</t>
        </is>
      </c>
      <c r="H659">
        <f>HYPERLINK("https://app.apollo.io/#/organizations/5e574a4d3f150700016bf579")</f>
        <v/>
      </c>
      <c r="I659">
        <f>HYPERLINK("http://www.moodsonic.com/")</f>
        <v/>
      </c>
      <c r="J659">
        <f>HYPERLINK("http://www.linkedin.com/company/moodsonic")</f>
        <v/>
      </c>
      <c r="K659">
        <f>HYPERLINK("https://twitter.com/juliantreasure")</f>
        <v/>
      </c>
      <c r="L659">
        <f>HYPERLINK("Not Found")</f>
        <v/>
      </c>
      <c r="M659" t="inlineStr">
        <is>
          <t>London, United Kingdom</t>
        </is>
      </c>
      <c r="N659" t="inlineStr">
        <is>
          <t>11</t>
        </is>
      </c>
      <c r="O659" t="inlineStr">
        <is>
          <t>Commercial Real Estate</t>
        </is>
      </c>
      <c r="P659" t="inlineStr">
        <is>
          <t>biophilic soundscapes,workplace design</t>
        </is>
      </c>
      <c r="Q659" t="inlineStr">
        <is>
          <t>Not Found</t>
        </is>
      </c>
    </row>
    <row r="660">
      <c r="A660" t="inlineStr">
        <is>
          <t>6266db8d51aff2000187ab1b</t>
        </is>
      </c>
      <c r="B660" t="inlineStr">
        <is>
          <t>Gordon La</t>
        </is>
      </c>
      <c r="C660">
        <f>HYPERLINK("http://www.linkedin.com/in/gordonla")</f>
        <v/>
      </c>
      <c r="D660" t="inlineStr">
        <is>
          <t>Not Found</t>
        </is>
      </c>
      <c r="E660" t="inlineStr">
        <is>
          <t>Associate Director</t>
        </is>
      </c>
      <c r="F660">
        <f>HYPERLINK("https://app.apollo.io/#/people/6266db8d51aff2000187ab1b")</f>
        <v/>
      </c>
      <c r="G660" t="inlineStr">
        <is>
          <t>Colliers</t>
        </is>
      </c>
      <c r="H660">
        <f>HYPERLINK("https://app.apollo.io/#/accounts/6578c2e248f92e02cc97a7cd")</f>
        <v/>
      </c>
      <c r="I660">
        <f>HYPERLINK("http://www.colliers.com/")</f>
        <v/>
      </c>
      <c r="J660">
        <f>HYPERLINK("http://www.linkedin.com/company/colliers")</f>
        <v/>
      </c>
      <c r="K660">
        <f>HYPERLINK("https://twitter.com/collierscanada")</f>
        <v/>
      </c>
      <c r="L660">
        <f>HYPERLINK("Not Found")</f>
        <v/>
      </c>
      <c r="M660" t="inlineStr">
        <is>
          <t>London, United Kingdom</t>
        </is>
      </c>
      <c r="N660" t="inlineStr">
        <is>
          <t>25,000</t>
        </is>
      </c>
      <c r="O660" t="inlineStr">
        <is>
          <t>Commercial Real Estate</t>
        </is>
      </c>
      <c r="P660" t="inlineStr">
        <is>
          <t>brokerage &amp; agency,corporate solutions</t>
        </is>
      </c>
      <c r="Q660" t="inlineStr">
        <is>
          <t>Not Found</t>
        </is>
      </c>
    </row>
    <row r="661">
      <c r="A661" t="inlineStr">
        <is>
          <t>54a4d14d7468692cf0b5c865</t>
        </is>
      </c>
      <c r="B661" t="inlineStr">
        <is>
          <t>Tim Mulholland</t>
        </is>
      </c>
      <c r="C661">
        <f>HYPERLINK("http://www.linkedin.com/in/tim-mulholland-18755637")</f>
        <v/>
      </c>
      <c r="D661" t="inlineStr">
        <is>
          <t>Not Found</t>
        </is>
      </c>
      <c r="E661" t="inlineStr">
        <is>
          <t>Managing Director</t>
        </is>
      </c>
      <c r="F661">
        <f>HYPERLINK("https://app.apollo.io/#/people/54a4d14d7468692cf0b5c865")</f>
        <v/>
      </c>
      <c r="G661" t="inlineStr">
        <is>
          <t>Treveth</t>
        </is>
      </c>
      <c r="H661">
        <f>HYPERLINK("https://app.apollo.io/#/organizations/60b2d88fcdd28f000158b880")</f>
        <v/>
      </c>
      <c r="I661">
        <f>HYPERLINK("http://www.treveth.co.uk/")</f>
        <v/>
      </c>
      <c r="J661">
        <f>HYPERLINK("http://www.linkedin.com/company/treveth")</f>
        <v/>
      </c>
      <c r="K661">
        <f>HYPERLINK("https://twitter.com/Treveth1")</f>
        <v/>
      </c>
      <c r="L661">
        <f>HYPERLINK("https://www.facebook.com/Treveth/")</f>
        <v/>
      </c>
      <c r="M661" t="inlineStr">
        <is>
          <t>Truro, United Kingdom</t>
        </is>
      </c>
      <c r="N661" t="inlineStr">
        <is>
          <t>40</t>
        </is>
      </c>
      <c r="O661" t="inlineStr">
        <is>
          <t>Commercial Real Estate</t>
        </is>
      </c>
      <c r="Q661" t="inlineStr">
        <is>
          <t>Not Found</t>
        </is>
      </c>
    </row>
    <row r="662">
      <c r="A662" t="inlineStr">
        <is>
          <t>619c676164741500016471d2</t>
        </is>
      </c>
      <c r="B662" t="inlineStr">
        <is>
          <t>Jason Karr</t>
        </is>
      </c>
      <c r="C662">
        <f>HYPERLINK("http://www.linkedin.com/in/jason-karr-43870a11")</f>
        <v/>
      </c>
      <c r="D662" t="inlineStr">
        <is>
          <t>Not Found</t>
        </is>
      </c>
      <c r="E662" t="inlineStr">
        <is>
          <t>Managing Director</t>
        </is>
      </c>
      <c r="F662">
        <f>HYPERLINK("https://app.apollo.io/#/people/619c676164741500016471d2")</f>
        <v/>
      </c>
      <c r="G662" t="inlineStr">
        <is>
          <t>KARR Property</t>
        </is>
      </c>
      <c r="H662">
        <f>HYPERLINK("https://app.apollo.io/#/organizations/55f9b01bf3e5bb35990024d4")</f>
        <v/>
      </c>
      <c r="I662">
        <f>HYPERLINK("http://www.karr-property.com/")</f>
        <v/>
      </c>
      <c r="J662">
        <f>HYPERLINK("http://www.linkedin.com/company/karr-property")</f>
        <v/>
      </c>
      <c r="K662">
        <f>HYPERLINK("Not Found")</f>
        <v/>
      </c>
      <c r="L662">
        <f>HYPERLINK("Not Found")</f>
        <v/>
      </c>
      <c r="M662" t="inlineStr">
        <is>
          <t>London, United Kingdom</t>
        </is>
      </c>
      <c r="N662" t="inlineStr">
        <is>
          <t>1</t>
        </is>
      </c>
      <c r="O662" t="inlineStr">
        <is>
          <t>Commercial Real Estate</t>
        </is>
      </c>
      <c r="P662" t="inlineStr">
        <is>
          <t>commercial real estate,development,investment</t>
        </is>
      </c>
      <c r="Q662" t="inlineStr">
        <is>
          <t>Not Found</t>
        </is>
      </c>
    </row>
    <row r="663">
      <c r="A663" t="inlineStr">
        <is>
          <t>57e0c1f0a6da987de598b86a</t>
        </is>
      </c>
      <c r="B663" t="inlineStr">
        <is>
          <t>Justyna Sitarz</t>
        </is>
      </c>
      <c r="C663">
        <f>HYPERLINK("http://www.linkedin.com/in/justyna-sitarz-9a08a222")</f>
        <v/>
      </c>
      <c r="D663" t="inlineStr">
        <is>
          <t>Not Found</t>
        </is>
      </c>
      <c r="E663" t="inlineStr">
        <is>
          <t>Area Director</t>
        </is>
      </c>
      <c r="F663">
        <f>HYPERLINK("https://app.apollo.io/#/people/57e0c1f0a6da987de598b86a")</f>
        <v/>
      </c>
      <c r="G663" t="inlineStr">
        <is>
          <t>Landmark</t>
        </is>
      </c>
      <c r="H663">
        <f>HYPERLINK("https://app.apollo.io/#/accounts/6578b685326fa101ae8df74d")</f>
        <v/>
      </c>
      <c r="I663">
        <f>HYPERLINK("http://www.landmarkspace.co.uk/")</f>
        <v/>
      </c>
      <c r="J663">
        <f>HYPERLINK("http://www.linkedin.com/company/landmarkspace")</f>
        <v/>
      </c>
      <c r="K663">
        <f>HYPERLINK("https://twitter.com/landmark_space")</f>
        <v/>
      </c>
      <c r="L663">
        <f>HYPERLINK("https://www.facebook.com/landmarkspace")</f>
        <v/>
      </c>
      <c r="M663" t="inlineStr">
        <is>
          <t>London, United Kingdom</t>
        </is>
      </c>
      <c r="N663" t="inlineStr">
        <is>
          <t>460</t>
        </is>
      </c>
      <c r="O663" t="inlineStr">
        <is>
          <t>Commercial Real Estate</t>
        </is>
      </c>
      <c r="P663" t="inlineStr">
        <is>
          <t>virtual office,meeting rooms,club desk</t>
        </is>
      </c>
      <c r="Q663" t="inlineStr">
        <is>
          <t>Not Found</t>
        </is>
      </c>
    </row>
    <row r="664">
      <c r="A664" t="inlineStr">
        <is>
          <t>6477f36c37448900013c3719</t>
        </is>
      </c>
      <c r="B664" t="inlineStr">
        <is>
          <t>Chris Statham</t>
        </is>
      </c>
      <c r="C664">
        <f>HYPERLINK("http://www.linkedin.com/in/chris-statham-mciob-a8479664")</f>
        <v/>
      </c>
      <c r="D664" t="inlineStr">
        <is>
          <t>Not Found</t>
        </is>
      </c>
      <c r="E664" t="inlineStr">
        <is>
          <t>Account Director</t>
        </is>
      </c>
      <c r="F664">
        <f>HYPERLINK("https://app.apollo.io/#/people/6477f36c37448900013c3719")</f>
        <v/>
      </c>
      <c r="G664" t="inlineStr">
        <is>
          <t>CBRE Global Workplace Solutions (GWS)</t>
        </is>
      </c>
      <c r="H664">
        <f>HYPERLINK("https://app.apollo.io/#/accounts/6509fed6f449800001b69a15")</f>
        <v/>
      </c>
      <c r="I664">
        <f>HYPERLINK("http://www.coor.com/")</f>
        <v/>
      </c>
      <c r="J664">
        <f>HYPERLINK("http://www.linkedin.com/company/cbre-gws")</f>
        <v/>
      </c>
      <c r="K664">
        <f>HYPERLINK("Not Found")</f>
        <v/>
      </c>
      <c r="L664">
        <f>HYPERLINK("Not Found")</f>
        <v/>
      </c>
      <c r="M664" t="inlineStr">
        <is>
          <t>Whitley Bay, United Kingdom</t>
        </is>
      </c>
      <c r="N664" t="inlineStr">
        <is>
          <t>15,000</t>
        </is>
      </c>
      <c r="O664" t="inlineStr">
        <is>
          <t>Commercial Real Estate</t>
        </is>
      </c>
      <c r="P664" t="inlineStr">
        <is>
          <t>project management,advisory,transaction services</t>
        </is>
      </c>
      <c r="Q664" t="inlineStr">
        <is>
          <t>Not Found</t>
        </is>
      </c>
    </row>
    <row r="665">
      <c r="A665" t="inlineStr">
        <is>
          <t>60a904ec8561dd0001a9e467</t>
        </is>
      </c>
      <c r="B665" t="inlineStr">
        <is>
          <t>Ron Bryant</t>
        </is>
      </c>
      <c r="C665">
        <f>HYPERLINK("http://www.linkedin.com/in/ron-bryant-81855b49")</f>
        <v/>
      </c>
      <c r="D665" t="inlineStr">
        <is>
          <t>Not Found</t>
        </is>
      </c>
      <c r="E665" t="inlineStr">
        <is>
          <t>Managing Director</t>
        </is>
      </c>
      <c r="F665">
        <f>HYPERLINK("https://app.apollo.io/#/people/60a904ec8561dd0001a9e467")</f>
        <v/>
      </c>
      <c r="G665" t="inlineStr">
        <is>
          <t>Vanderkamp</t>
        </is>
      </c>
      <c r="H665">
        <f>HYPERLINK("https://app.apollo.io/#/organizations/5a9f79d2a6da98d9852f70c3")</f>
        <v/>
      </c>
      <c r="I665">
        <f>HYPERLINK("http://www.vdkamp.eu/")</f>
        <v/>
      </c>
      <c r="J665">
        <f>HYPERLINK("http://www.linkedin.com/company/vanderkamp-pompen")</f>
        <v/>
      </c>
      <c r="K665">
        <f>HYPERLINK("Not Found")</f>
        <v/>
      </c>
      <c r="L665">
        <f>HYPERLINK("https://www.facebook.com/vanderkamppompen")</f>
        <v/>
      </c>
      <c r="M665" t="inlineStr">
        <is>
          <t>United Kingdom</t>
        </is>
      </c>
      <c r="N665" t="inlineStr">
        <is>
          <t>44</t>
        </is>
      </c>
      <c r="O665" t="inlineStr">
        <is>
          <t>Commercial Real Estate</t>
        </is>
      </c>
      <c r="P665" t="inlineStr">
        <is>
          <t>tpi,engineering,pump rental,tpi &amp; engineering</t>
        </is>
      </c>
      <c r="Q665" t="inlineStr">
        <is>
          <t>Not Found</t>
        </is>
      </c>
    </row>
    <row r="666">
      <c r="A666" t="inlineStr">
        <is>
          <t>54a52f267468692cf0d59b83</t>
        </is>
      </c>
      <c r="B666" t="inlineStr">
        <is>
          <t>Craig Lloyd</t>
        </is>
      </c>
      <c r="C666">
        <f>HYPERLINK("http://www.linkedin.com/in/craiglloyd1972")</f>
        <v/>
      </c>
      <c r="D666" t="inlineStr">
        <is>
          <t>Not Found</t>
        </is>
      </c>
      <c r="E666" t="inlineStr">
        <is>
          <t>Account Director</t>
        </is>
      </c>
      <c r="F666">
        <f>HYPERLINK("https://app.apollo.io/#/people/54a52f267468692cf0d59b83")</f>
        <v/>
      </c>
      <c r="G666" t="inlineStr">
        <is>
          <t>CBRE Global Workplace Solutions (GWS)</t>
        </is>
      </c>
      <c r="H666">
        <f>HYPERLINK("https://app.apollo.io/#/accounts/6509fed6f449800001b69a15")</f>
        <v/>
      </c>
      <c r="I666">
        <f>HYPERLINK("http://www.coor.com/")</f>
        <v/>
      </c>
      <c r="J666">
        <f>HYPERLINK("http://www.linkedin.com/company/cbre-gws")</f>
        <v/>
      </c>
      <c r="K666">
        <f>HYPERLINK("Not Found")</f>
        <v/>
      </c>
      <c r="L666">
        <f>HYPERLINK("Not Found")</f>
        <v/>
      </c>
      <c r="M666" t="inlineStr">
        <is>
          <t>Alton, Illinois</t>
        </is>
      </c>
      <c r="N666" t="inlineStr">
        <is>
          <t>15,000</t>
        </is>
      </c>
      <c r="O666" t="inlineStr">
        <is>
          <t>Commercial Real Estate</t>
        </is>
      </c>
      <c r="P666" t="inlineStr">
        <is>
          <t>project management,advisory,transaction services</t>
        </is>
      </c>
      <c r="Q666" t="inlineStr">
        <is>
          <t>Not Found</t>
        </is>
      </c>
    </row>
    <row r="667">
      <c r="A667" t="inlineStr">
        <is>
          <t>54c164797468697af791e306</t>
        </is>
      </c>
      <c r="B667" t="inlineStr">
        <is>
          <t>Jamie March</t>
        </is>
      </c>
      <c r="C667">
        <f>HYPERLINK("http://www.linkedin.com/in/jamie-march-19560940")</f>
        <v/>
      </c>
      <c r="D667" t="inlineStr">
        <is>
          <t>Not Found</t>
        </is>
      </c>
      <c r="E667" t="inlineStr">
        <is>
          <t>Associate Director</t>
        </is>
      </c>
      <c r="F667">
        <f>HYPERLINK("https://app.apollo.io/#/people/54c164797468697af791e306")</f>
        <v/>
      </c>
      <c r="G667" t="inlineStr">
        <is>
          <t>Colliers</t>
        </is>
      </c>
      <c r="H667">
        <f>HYPERLINK("https://app.apollo.io/#/accounts/64aaf6c63d556a0001e8eda6")</f>
        <v/>
      </c>
      <c r="I667">
        <f>HYPERLINK("http://www.colliers.com/")</f>
        <v/>
      </c>
      <c r="J667">
        <f>HYPERLINK("http://www.linkedin.com/company/colliers")</f>
        <v/>
      </c>
      <c r="K667">
        <f>HYPERLINK("https://twitter.com/Colliers")</f>
        <v/>
      </c>
      <c r="L667">
        <f>HYPERLINK("https://facebook.com/colliersinternational/")</f>
        <v/>
      </c>
      <c r="M667" t="inlineStr">
        <is>
          <t>Edinburgh, United Kingdom</t>
        </is>
      </c>
      <c r="N667" t="inlineStr">
        <is>
          <t>25,000</t>
        </is>
      </c>
      <c r="O667" t="inlineStr">
        <is>
          <t>Commercial Real Estate</t>
        </is>
      </c>
      <c r="P667" t="inlineStr">
        <is>
          <t>brokerage &amp; agency,corporate solutions</t>
        </is>
      </c>
      <c r="Q667" t="inlineStr">
        <is>
          <t>Not Found</t>
        </is>
      </c>
    </row>
    <row r="668">
      <c r="A668" t="inlineStr">
        <is>
          <t>54eb7c7374686931b809eb13</t>
        </is>
      </c>
      <c r="B668" t="inlineStr">
        <is>
          <t>Benjamin Taylor</t>
        </is>
      </c>
      <c r="C668">
        <f>HYPERLINK("http://www.linkedin.com/in/benjamin-taylor-6549ab17")</f>
        <v/>
      </c>
      <c r="D668" t="inlineStr">
        <is>
          <t>Not Found</t>
        </is>
      </c>
      <c r="E668" t="inlineStr">
        <is>
          <t>Planning Director</t>
        </is>
      </c>
      <c r="F668">
        <f>HYPERLINK("https://app.apollo.io/#/people/54eb7c7374686931b809eb13")</f>
        <v/>
      </c>
      <c r="G668" t="inlineStr">
        <is>
          <t>Newlands Property Developments LLP</t>
        </is>
      </c>
      <c r="H668">
        <f>HYPERLINK("https://app.apollo.io/#/organizations/5da2a196ee571f000133c09a")</f>
        <v/>
      </c>
      <c r="I668">
        <f>HYPERLINK("http://www.newlandsuk.com/")</f>
        <v/>
      </c>
      <c r="J668">
        <f>HYPERLINK("http://www.linkedin.com/company/newlands-property-developments-llp")</f>
        <v/>
      </c>
      <c r="K668">
        <f>HYPERLINK("Not Found")</f>
        <v/>
      </c>
      <c r="L668">
        <f>HYPERLINK("Not Found")</f>
        <v/>
      </c>
      <c r="M668" t="inlineStr">
        <is>
          <t>United Kingdom</t>
        </is>
      </c>
      <c r="N668" t="inlineStr">
        <is>
          <t>14</t>
        </is>
      </c>
      <c r="O668" t="inlineStr">
        <is>
          <t>Commercial Real Estate</t>
        </is>
      </c>
      <c r="P668" t="inlineStr">
        <is>
          <t>commercial real estate</t>
        </is>
      </c>
      <c r="Q668" t="inlineStr">
        <is>
          <t>Not Found</t>
        </is>
      </c>
    </row>
    <row r="669">
      <c r="A669" t="inlineStr">
        <is>
          <t>54a5f85b74686938acaeb9b7</t>
        </is>
      </c>
      <c r="B669" t="inlineStr">
        <is>
          <t>Tony Barton</t>
        </is>
      </c>
      <c r="C669">
        <f>HYPERLINK("http://www.linkedin.com/in/tony-barton-a9943121")</f>
        <v/>
      </c>
      <c r="D669" t="inlineStr">
        <is>
          <t>Not Found</t>
        </is>
      </c>
      <c r="E669" t="inlineStr">
        <is>
          <t>Account Director</t>
        </is>
      </c>
      <c r="F669">
        <f>HYPERLINK("https://app.apollo.io/#/people/54a5f85b74686938acaeb9b7")</f>
        <v/>
      </c>
      <c r="G669" t="inlineStr">
        <is>
          <t>CBRE Global Workplace Solutions (GWS)</t>
        </is>
      </c>
      <c r="H669">
        <f>HYPERLINK("https://app.apollo.io/#/accounts/6509fed6f449800001b69a15")</f>
        <v/>
      </c>
      <c r="I669">
        <f>HYPERLINK("http://www.coor.com/")</f>
        <v/>
      </c>
      <c r="J669">
        <f>HYPERLINK("http://www.linkedin.com/company/cbre-gws")</f>
        <v/>
      </c>
      <c r="K669">
        <f>HYPERLINK("Not Found")</f>
        <v/>
      </c>
      <c r="L669">
        <f>HYPERLINK("Not Found")</f>
        <v/>
      </c>
      <c r="M669" t="inlineStr">
        <is>
          <t>Southampton, United Kingdom</t>
        </is>
      </c>
      <c r="N669" t="inlineStr">
        <is>
          <t>15,000</t>
        </is>
      </c>
      <c r="O669" t="inlineStr">
        <is>
          <t>Commercial Real Estate</t>
        </is>
      </c>
      <c r="P669" t="inlineStr">
        <is>
          <t>project management,advisory,transaction services</t>
        </is>
      </c>
      <c r="Q669" t="inlineStr">
        <is>
          <t>Not Found</t>
        </is>
      </c>
    </row>
    <row r="670">
      <c r="A670" t="inlineStr">
        <is>
          <t>54aa62347468692366133e03</t>
        </is>
      </c>
      <c r="B670" t="inlineStr">
        <is>
          <t>Nick Clifford</t>
        </is>
      </c>
      <c r="C670">
        <f>HYPERLINK("http://www.linkedin.com/in/nickclifford")</f>
        <v/>
      </c>
      <c r="D670" t="inlineStr">
        <is>
          <t>Not Found</t>
        </is>
      </c>
      <c r="E670" t="inlineStr">
        <is>
          <t>Account Director</t>
        </is>
      </c>
      <c r="F670">
        <f>HYPERLINK("https://app.apollo.io/#/people/54aa62347468692366133e03")</f>
        <v/>
      </c>
      <c r="G670" t="inlineStr">
        <is>
          <t>Colliers</t>
        </is>
      </c>
      <c r="H670">
        <f>HYPERLINK("https://app.apollo.io/#/accounts/64aaf6c63d556a0001e8eda6")</f>
        <v/>
      </c>
      <c r="I670">
        <f>HYPERLINK("http://www.colliers.com/")</f>
        <v/>
      </c>
      <c r="J670">
        <f>HYPERLINK("http://www.linkedin.com/company/colliers")</f>
        <v/>
      </c>
      <c r="K670">
        <f>HYPERLINK("https://twitter.com/Colliers")</f>
        <v/>
      </c>
      <c r="L670">
        <f>HYPERLINK("https://facebook.com/colliersinternational/")</f>
        <v/>
      </c>
      <c r="M670" t="inlineStr">
        <is>
          <t>London, United Kingdom</t>
        </is>
      </c>
      <c r="N670" t="inlineStr">
        <is>
          <t>25,000</t>
        </is>
      </c>
      <c r="O670" t="inlineStr">
        <is>
          <t>Commercial Real Estate</t>
        </is>
      </c>
      <c r="P670" t="inlineStr">
        <is>
          <t>brokerage &amp; agency,corporate solutions</t>
        </is>
      </c>
      <c r="Q670" t="inlineStr">
        <is>
          <t>Not Found</t>
        </is>
      </c>
    </row>
    <row r="671">
      <c r="A671" t="inlineStr">
        <is>
          <t>60eeb7dde4c73a0001d2da0f</t>
        </is>
      </c>
      <c r="B671" t="inlineStr">
        <is>
          <t>Adrian Dalmedo</t>
        </is>
      </c>
      <c r="C671">
        <f>HYPERLINK("http://www.linkedin.com/in/adrian-dalmedo-99a8b810")</f>
        <v/>
      </c>
      <c r="D671" t="inlineStr">
        <is>
          <t>Not Found</t>
        </is>
      </c>
      <c r="E671" t="inlineStr">
        <is>
          <t>Procurement Director</t>
        </is>
      </c>
      <c r="F671">
        <f>HYPERLINK("https://app.apollo.io/#/people/60eeb7dde4c73a0001d2da0f")</f>
        <v/>
      </c>
      <c r="G671" t="inlineStr">
        <is>
          <t>CBRE Global Workplace Solutions (GWS)</t>
        </is>
      </c>
      <c r="H671">
        <f>HYPERLINK("https://app.apollo.io/#/accounts/6509fed6f449800001b69a15")</f>
        <v/>
      </c>
      <c r="I671">
        <f>HYPERLINK("http://www.coor.com/")</f>
        <v/>
      </c>
      <c r="J671">
        <f>HYPERLINK("http://www.linkedin.com/company/cbre-gws")</f>
        <v/>
      </c>
      <c r="K671">
        <f>HYPERLINK("Not Found")</f>
        <v/>
      </c>
      <c r="L671">
        <f>HYPERLINK("Not Found")</f>
        <v/>
      </c>
      <c r="M671" t="inlineStr">
        <is>
          <t>Kingston upon Thames, United Kingdom</t>
        </is>
      </c>
      <c r="N671" t="inlineStr">
        <is>
          <t>15,000</t>
        </is>
      </c>
      <c r="O671" t="inlineStr">
        <is>
          <t>Commercial Real Estate</t>
        </is>
      </c>
      <c r="P671" t="inlineStr">
        <is>
          <t>project management,advisory,transaction services</t>
        </is>
      </c>
      <c r="Q671" t="inlineStr">
        <is>
          <t>Not Found</t>
        </is>
      </c>
    </row>
    <row r="672">
      <c r="A672" t="inlineStr">
        <is>
          <t>601fd4aafacef200010cda21</t>
        </is>
      </c>
      <c r="B672" t="inlineStr">
        <is>
          <t>Sallie Provider</t>
        </is>
      </c>
      <c r="C672">
        <f>HYPERLINK("http://www.linkedin.com/in/salliemaskrey")</f>
        <v/>
      </c>
      <c r="D672" t="inlineStr">
        <is>
          <t>Not Found</t>
        </is>
      </c>
      <c r="E672" t="inlineStr">
        <is>
          <t>Managing Director</t>
        </is>
      </c>
      <c r="F672">
        <f>HYPERLINK("https://app.apollo.io/#/people/601fd4aafacef200010cda21")</f>
        <v/>
      </c>
      <c r="G672" t="inlineStr">
        <is>
          <t>Portal Business Centres</t>
        </is>
      </c>
      <c r="H672">
        <f>HYPERLINK("https://app.apollo.io/#/organizations/5ed30f99ed24300001ca3808")</f>
        <v/>
      </c>
      <c r="I672">
        <f>HYPERLINK("Not Found")</f>
        <v/>
      </c>
      <c r="J672">
        <f>HYPERLINK("http://www.linkedin.com/company/portal-business-centres")</f>
        <v/>
      </c>
      <c r="K672">
        <f>HYPERLINK("Not Found")</f>
        <v/>
      </c>
      <c r="L672">
        <f>HYPERLINK("Not Found")</f>
        <v/>
      </c>
      <c r="M672" t="inlineStr">
        <is>
          <t>Warrington, United Kingdom</t>
        </is>
      </c>
      <c r="N672" t="inlineStr">
        <is>
          <t>10</t>
        </is>
      </c>
      <c r="O672" t="inlineStr">
        <is>
          <t>Commercial Real Estate</t>
        </is>
      </c>
      <c r="P672" t="inlineStr">
        <is>
          <t>serviced offices,virtual offices,mail forwarding service</t>
        </is>
      </c>
      <c r="Q672" t="inlineStr">
        <is>
          <t>Not Found</t>
        </is>
      </c>
    </row>
    <row r="673">
      <c r="A673" t="inlineStr">
        <is>
          <t>590796cdf651254d8c3ca0b0</t>
        </is>
      </c>
      <c r="B673" t="inlineStr">
        <is>
          <t>Laura Owen</t>
        </is>
      </c>
      <c r="C673">
        <f>HYPERLINK("http://www.linkedin.com/in/laura-owen-fcca-72a5843")</f>
        <v/>
      </c>
      <c r="D673" t="inlineStr">
        <is>
          <t>Not Found</t>
        </is>
      </c>
      <c r="E673" t="inlineStr">
        <is>
          <t>Finance Director</t>
        </is>
      </c>
      <c r="F673">
        <f>HYPERLINK("https://app.apollo.io/#/people/590796cdf651254d8c3ca0b0")</f>
        <v/>
      </c>
      <c r="G673" t="inlineStr">
        <is>
          <t>The Langham Estate</t>
        </is>
      </c>
      <c r="H673">
        <f>HYPERLINK("https://app.apollo.io/#/accounts/6578bc0fed4bc101ae1a238d")</f>
        <v/>
      </c>
      <c r="I673">
        <f>HYPERLINK("http://www.langhamestate.com/")</f>
        <v/>
      </c>
      <c r="J673">
        <f>HYPERLINK("http://www.linkedin.com/company/langham-estate")</f>
        <v/>
      </c>
      <c r="K673">
        <f>HYPERLINK("https://twitter.com/jetpack")</f>
        <v/>
      </c>
      <c r="L673">
        <f>HYPERLINK("https://facebook.com/pages/Langham-Estate-Management-Ltd/249673565101232")</f>
        <v/>
      </c>
      <c r="M673" t="inlineStr">
        <is>
          <t>London, United Kingdom</t>
        </is>
      </c>
      <c r="N673" t="inlineStr">
        <is>
          <t>50</t>
        </is>
      </c>
      <c r="O673" t="inlineStr">
        <is>
          <t>Commercial Real Estate</t>
        </is>
      </c>
      <c r="P673" t="inlineStr">
        <is>
          <t>commercial real estate,offices to let,showrooms to let</t>
        </is>
      </c>
      <c r="Q673" t="inlineStr">
        <is>
          <t>Not Found</t>
        </is>
      </c>
    </row>
    <row r="674">
      <c r="A674" t="inlineStr">
        <is>
          <t>54a2f45774686930c2acce49</t>
        </is>
      </c>
      <c r="B674" t="inlineStr">
        <is>
          <t>Josh Northcott</t>
        </is>
      </c>
      <c r="C674">
        <f>HYPERLINK("http://www.linkedin.com/in/josh-northcott-aab67849")</f>
        <v/>
      </c>
      <c r="D674" t="inlineStr">
        <is>
          <t>Not Found</t>
        </is>
      </c>
      <c r="E674" t="inlineStr">
        <is>
          <t>Associate Director</t>
        </is>
      </c>
      <c r="F674">
        <f>HYPERLINK("https://app.apollo.io/#/people/54a2f45774686930c2acce49")</f>
        <v/>
      </c>
      <c r="G674" t="inlineStr">
        <is>
          <t>Colliers</t>
        </is>
      </c>
      <c r="H674">
        <f>HYPERLINK("https://app.apollo.io/#/accounts/64aaf6c63d556a0001e8eda6")</f>
        <v/>
      </c>
      <c r="I674">
        <f>HYPERLINK("http://www.colliers.com/")</f>
        <v/>
      </c>
      <c r="J674">
        <f>HYPERLINK("http://www.linkedin.com/company/colliers")</f>
        <v/>
      </c>
      <c r="K674">
        <f>HYPERLINK("https://twitter.com/Colliers")</f>
        <v/>
      </c>
      <c r="L674">
        <f>HYPERLINK("https://facebook.com/colliersinternational/")</f>
        <v/>
      </c>
      <c r="M674" t="inlineStr">
        <is>
          <t>Manchester, United Kingdom</t>
        </is>
      </c>
      <c r="N674" t="inlineStr">
        <is>
          <t>25,000</t>
        </is>
      </c>
      <c r="O674" t="inlineStr">
        <is>
          <t>Commercial Real Estate</t>
        </is>
      </c>
      <c r="P674" t="inlineStr">
        <is>
          <t>brokerage &amp; agency,corporate solutions</t>
        </is>
      </c>
      <c r="Q674" t="inlineStr">
        <is>
          <t>Not Found</t>
        </is>
      </c>
    </row>
    <row r="675">
      <c r="A675" t="inlineStr">
        <is>
          <t>60ab8a25167df20001092936</t>
        </is>
      </c>
      <c r="B675" t="inlineStr">
        <is>
          <t>Leroy Margolis</t>
        </is>
      </c>
      <c r="C675">
        <f>HYPERLINK("http://www.linkedin.com/in/leroy-margolis-aca-059b6481")</f>
        <v/>
      </c>
      <c r="D675" t="inlineStr">
        <is>
          <t>Not Found</t>
        </is>
      </c>
      <c r="E675" t="inlineStr">
        <is>
          <t>Executive Director</t>
        </is>
      </c>
      <c r="F675">
        <f>HYPERLINK("https://app.apollo.io/#/people/60ab8a25167df20001092936")</f>
        <v/>
      </c>
      <c r="G675" t="inlineStr">
        <is>
          <t>Margolis Holdings</t>
        </is>
      </c>
      <c r="H675">
        <f>HYPERLINK("https://app.apollo.io/#/organizations/61eb952bc2dde00001d7d64c")</f>
        <v/>
      </c>
      <c r="I675">
        <f>HYPERLINK("http://www.margolisholdings.com/")</f>
        <v/>
      </c>
      <c r="J675">
        <f>HYPERLINK("http://www.linkedin.com/company/margolis-holdings")</f>
        <v/>
      </c>
      <c r="K675">
        <f>HYPERLINK("Not Found")</f>
        <v/>
      </c>
      <c r="L675">
        <f>HYPERLINK("Not Found")</f>
        <v/>
      </c>
      <c r="M675" t="inlineStr">
        <is>
          <t>London, United Kingdom</t>
        </is>
      </c>
      <c r="N675" t="inlineStr">
        <is>
          <t>7</t>
        </is>
      </c>
      <c r="O675" t="inlineStr">
        <is>
          <t>Commercial Real Estate</t>
        </is>
      </c>
      <c r="P675" t="inlineStr">
        <is>
          <t>general trading,residential real estate,industrial real estate</t>
        </is>
      </c>
      <c r="Q675" t="inlineStr">
        <is>
          <t>Not Found</t>
        </is>
      </c>
    </row>
    <row r="676">
      <c r="A676" t="inlineStr">
        <is>
          <t>5adb8ba7a6da9862c35d902f</t>
        </is>
      </c>
      <c r="B676" t="inlineStr">
        <is>
          <t>Alexander Johnson</t>
        </is>
      </c>
      <c r="C676">
        <f>HYPERLINK("http://www.linkedin.com/in/alexander-johnson-1b851559")</f>
        <v/>
      </c>
      <c r="D676" t="inlineStr">
        <is>
          <t>Not Found</t>
        </is>
      </c>
      <c r="E676" t="inlineStr">
        <is>
          <t>Associate Director</t>
        </is>
      </c>
      <c r="F676">
        <f>HYPERLINK("https://app.apollo.io/#/people/5adb8ba7a6da9862c35d902f")</f>
        <v/>
      </c>
      <c r="G676" t="inlineStr">
        <is>
          <t>Colliers</t>
        </is>
      </c>
      <c r="H676">
        <f>HYPERLINK("https://app.apollo.io/#/accounts/64aaf6c63d556a0001e8eda6")</f>
        <v/>
      </c>
      <c r="I676">
        <f>HYPERLINK("http://www.colliers.com/")</f>
        <v/>
      </c>
      <c r="J676">
        <f>HYPERLINK("http://www.linkedin.com/company/colliers")</f>
        <v/>
      </c>
      <c r="K676">
        <f>HYPERLINK("https://twitter.com/Colliers")</f>
        <v/>
      </c>
      <c r="L676">
        <f>HYPERLINK("https://facebook.com/colliersinternational/")</f>
        <v/>
      </c>
      <c r="M676" t="inlineStr">
        <is>
          <t>London, United Kingdom</t>
        </is>
      </c>
      <c r="N676" t="inlineStr">
        <is>
          <t>25,000</t>
        </is>
      </c>
      <c r="O676" t="inlineStr">
        <is>
          <t>Commercial Real Estate</t>
        </is>
      </c>
      <c r="P676" t="inlineStr">
        <is>
          <t>brokerage &amp; agency,corporate solutions</t>
        </is>
      </c>
      <c r="Q676" t="inlineStr">
        <is>
          <t>Not Found</t>
        </is>
      </c>
    </row>
    <row r="677">
      <c r="A677" t="inlineStr">
        <is>
          <t>633c3efffe80c20001db5ebb</t>
        </is>
      </c>
      <c r="B677" t="inlineStr">
        <is>
          <t>John Wills</t>
        </is>
      </c>
      <c r="C677">
        <f>HYPERLINK("http://www.linkedin.com/in/johnwills-sione")</f>
        <v/>
      </c>
      <c r="D677" t="inlineStr">
        <is>
          <t>Not Found</t>
        </is>
      </c>
      <c r="E677" t="inlineStr">
        <is>
          <t>Product Director</t>
        </is>
      </c>
      <c r="F677">
        <f>HYPERLINK("https://app.apollo.io/#/people/633c3efffe80c20001db5ebb")</f>
        <v/>
      </c>
      <c r="G677" t="inlineStr">
        <is>
          <t>4D Monitoring</t>
        </is>
      </c>
      <c r="H677">
        <f>HYPERLINK("https://app.apollo.io/#/accounts/6578baa06a983e03f8ae827f")</f>
        <v/>
      </c>
      <c r="I677">
        <f>HYPERLINK("http://www.4dmonitoring.co.uk/")</f>
        <v/>
      </c>
      <c r="J677">
        <f>HYPERLINK("http://www.linkedin.com/company/4d-monitoring")</f>
        <v/>
      </c>
      <c r="K677">
        <f>HYPERLINK("Not Found")</f>
        <v/>
      </c>
      <c r="L677">
        <f>HYPERLINK("Not Found")</f>
        <v/>
      </c>
      <c r="M677" t="inlineStr">
        <is>
          <t>Wilmslow, United Kingdom</t>
        </is>
      </c>
      <c r="N677" t="inlineStr">
        <is>
          <t>6</t>
        </is>
      </c>
      <c r="O677" t="inlineStr">
        <is>
          <t>Commercial Real Estate</t>
        </is>
      </c>
      <c r="P677" t="inlineStr">
        <is>
          <t>building environment management,property performance monitoring</t>
        </is>
      </c>
      <c r="Q677" t="inlineStr">
        <is>
          <t>Not Found</t>
        </is>
      </c>
    </row>
    <row r="678">
      <c r="A678" t="inlineStr">
        <is>
          <t>5b3ca277a6da98a0e50c8ed5</t>
        </is>
      </c>
      <c r="B678" t="inlineStr">
        <is>
          <t>Craig Jackson</t>
        </is>
      </c>
      <c r="C678">
        <f>HYPERLINK("http://www.linkedin.com/in/craig-jackson-38958532")</f>
        <v/>
      </c>
      <c r="D678" t="inlineStr">
        <is>
          <t>Not Found</t>
        </is>
      </c>
      <c r="E678" t="inlineStr">
        <is>
          <t>Associate Director</t>
        </is>
      </c>
      <c r="F678">
        <f>HYPERLINK("https://app.apollo.io/#/people/5b3ca277a6da98a0e50c8ed5")</f>
        <v/>
      </c>
      <c r="G678" t="inlineStr">
        <is>
          <t>Colliers</t>
        </is>
      </c>
      <c r="H678">
        <f>HYPERLINK("https://app.apollo.io/#/accounts/6578c2e248f92e02cc97a7cd")</f>
        <v/>
      </c>
      <c r="I678">
        <f>HYPERLINK("http://www.colliers.com/")</f>
        <v/>
      </c>
      <c r="J678">
        <f>HYPERLINK("http://www.linkedin.com/company/colliers")</f>
        <v/>
      </c>
      <c r="K678">
        <f>HYPERLINK("https://twitter.com/collierscanada")</f>
        <v/>
      </c>
      <c r="L678">
        <f>HYPERLINK("Not Found")</f>
        <v/>
      </c>
      <c r="M678" t="inlineStr">
        <is>
          <t>London, United Kingdom</t>
        </is>
      </c>
      <c r="N678" t="inlineStr">
        <is>
          <t>25,000</t>
        </is>
      </c>
      <c r="O678" t="inlineStr">
        <is>
          <t>Commercial Real Estate</t>
        </is>
      </c>
      <c r="P678" t="inlineStr">
        <is>
          <t>brokerage &amp; agency,corporate solutions</t>
        </is>
      </c>
      <c r="Q678" t="inlineStr">
        <is>
          <t>Not Found</t>
        </is>
      </c>
    </row>
    <row r="679">
      <c r="A679" t="inlineStr">
        <is>
          <t>5efc7ef918ce680001521f50</t>
        </is>
      </c>
      <c r="B679" t="inlineStr">
        <is>
          <t>Stuart Mee</t>
        </is>
      </c>
      <c r="C679">
        <f>HYPERLINK("http://www.linkedin.com/in/stuart-mee-908628191")</f>
        <v/>
      </c>
      <c r="D679" t="inlineStr">
        <is>
          <t>Not Found</t>
        </is>
      </c>
      <c r="E679" t="inlineStr">
        <is>
          <t>Sustainability Director</t>
        </is>
      </c>
      <c r="F679">
        <f>HYPERLINK("https://app.apollo.io/#/people/5efc7ef918ce680001521f50")</f>
        <v/>
      </c>
      <c r="G679" t="inlineStr">
        <is>
          <t>Landsec</t>
        </is>
      </c>
      <c r="H679">
        <f>HYPERLINK("https://app.apollo.io/#/accounts/6578b86a75dc3a02ccc995c8")</f>
        <v/>
      </c>
      <c r="I679">
        <f>HYPERLINK("http://www.landsec.com/")</f>
        <v/>
      </c>
      <c r="J679">
        <f>HYPERLINK("http://www.linkedin.com/company/landsec")</f>
        <v/>
      </c>
      <c r="K679">
        <f>HYPERLINK("https://twitter.com/landsecgroup?lang=en")</f>
        <v/>
      </c>
      <c r="L679">
        <f>HYPERLINK("https://facebook.com/pages/category/Real-Estate-Company/Landsec-Group-335042077050643/")</f>
        <v/>
      </c>
      <c r="M679" t="inlineStr">
        <is>
          <t>London, United Kingdom</t>
        </is>
      </c>
      <c r="N679" t="inlineStr">
        <is>
          <t>860</t>
        </is>
      </c>
      <c r="O679" t="inlineStr">
        <is>
          <t>Commercial Real Estate</t>
        </is>
      </c>
      <c r="P679" t="inlineStr">
        <is>
          <t>property investment,management &amp; development</t>
        </is>
      </c>
      <c r="Q679" t="inlineStr">
        <is>
          <t>Not Found</t>
        </is>
      </c>
    </row>
    <row r="680">
      <c r="A680" t="inlineStr">
        <is>
          <t>588e3311f65125edee7effc8</t>
        </is>
      </c>
      <c r="B680" t="inlineStr">
        <is>
          <t>Joe Chen</t>
        </is>
      </c>
      <c r="C680">
        <f>HYPERLINK("http://www.linkedin.com/in/joechenuk")</f>
        <v/>
      </c>
      <c r="D680" t="inlineStr">
        <is>
          <t>Not Found</t>
        </is>
      </c>
      <c r="E680" t="inlineStr">
        <is>
          <t>Account Director</t>
        </is>
      </c>
      <c r="F680">
        <f>HYPERLINK("https://app.apollo.io/#/people/588e3311f65125edee7effc8")</f>
        <v/>
      </c>
      <c r="G680" t="inlineStr">
        <is>
          <t>CoStar Group</t>
        </is>
      </c>
      <c r="H680">
        <f>HYPERLINK("https://app.apollo.io/#/accounts/6578be77ccf69c01ae54f373")</f>
        <v/>
      </c>
      <c r="I680">
        <f>HYPERLINK("http://www.costargroup.com/")</f>
        <v/>
      </c>
      <c r="J680">
        <f>HYPERLINK("http://www.linkedin.com/company/costar-group")</f>
        <v/>
      </c>
      <c r="K680">
        <f>HYPERLINK("http://twitter.com/TheCoStarGroup")</f>
        <v/>
      </c>
      <c r="L680">
        <f>HYPERLINK("http://www.facebook.com/CoStarGroup")</f>
        <v/>
      </c>
      <c r="M680" t="inlineStr">
        <is>
          <t>London, United Kingdom</t>
        </is>
      </c>
      <c r="N680" t="inlineStr">
        <is>
          <t>6,300</t>
        </is>
      </c>
      <c r="O680" t="inlineStr">
        <is>
          <t>Commercial Real Estate</t>
        </is>
      </c>
      <c r="P680" t="inlineStr">
        <is>
          <t>information technology,research,marketing</t>
        </is>
      </c>
      <c r="Q680" t="inlineStr">
        <is>
          <t>Not Found</t>
        </is>
      </c>
    </row>
    <row r="681">
      <c r="A681" t="inlineStr">
        <is>
          <t>562f8856a6da98126900e920</t>
        </is>
      </c>
      <c r="B681" t="inlineStr">
        <is>
          <t>Oliver Langston</t>
        </is>
      </c>
      <c r="C681">
        <f>HYPERLINK("http://www.linkedin.com/in/oliverlangston")</f>
        <v/>
      </c>
      <c r="D681" t="inlineStr">
        <is>
          <t>Not Found</t>
        </is>
      </c>
      <c r="E681" t="inlineStr">
        <is>
          <t>Managing Director</t>
        </is>
      </c>
      <c r="F681">
        <f>HYPERLINK("https://app.apollo.io/#/people/562f8856a6da98126900e920")</f>
        <v/>
      </c>
      <c r="G681" t="inlineStr">
        <is>
          <t>Locate Retail</t>
        </is>
      </c>
      <c r="H681">
        <f>HYPERLINK("https://app.apollo.io/#/organizations/55f9da91f3e5bb16ae0000e8")</f>
        <v/>
      </c>
      <c r="I681">
        <f>HYPERLINK("http://www.locate-retail.com/")</f>
        <v/>
      </c>
      <c r="J681">
        <f>HYPERLINK("http://www.linkedin.com/company/locate-retail")</f>
        <v/>
      </c>
      <c r="K681">
        <f>HYPERLINK("https://twitter.com/LocateRetailUK")</f>
        <v/>
      </c>
      <c r="L681">
        <f>HYPERLINK("Not Found")</f>
        <v/>
      </c>
      <c r="M681" t="inlineStr">
        <is>
          <t>London, United Kingdom</t>
        </is>
      </c>
      <c r="N681" t="inlineStr">
        <is>
          <t>1</t>
        </is>
      </c>
      <c r="O681" t="inlineStr">
        <is>
          <t>Commercial Real Estate</t>
        </is>
      </c>
      <c r="P681" t="inlineStr">
        <is>
          <t>high street retail agency,development investment</t>
        </is>
      </c>
      <c r="Q681" t="inlineStr">
        <is>
          <t>Not Found</t>
        </is>
      </c>
    </row>
    <row r="682">
      <c r="A682" t="inlineStr">
        <is>
          <t>60bf44bd5c4d1700015e5d56</t>
        </is>
      </c>
      <c r="B682" t="inlineStr">
        <is>
          <t>David Cunningham</t>
        </is>
      </c>
      <c r="C682">
        <f>HYPERLINK("http://www.linkedin.com/in/david-cunningham-57054263")</f>
        <v/>
      </c>
      <c r="D682" t="inlineStr">
        <is>
          <t>Not Found</t>
        </is>
      </c>
      <c r="E682" t="inlineStr">
        <is>
          <t>Senior Director</t>
        </is>
      </c>
      <c r="F682">
        <f>HYPERLINK("https://app.apollo.io/#/people/60bf44bd5c4d1700015e5d56")</f>
        <v/>
      </c>
      <c r="G682" t="inlineStr">
        <is>
          <t>C4 Projects Limited</t>
        </is>
      </c>
      <c r="H682">
        <f>HYPERLINK("https://app.apollo.io/#/organizations/5569c1f27369642529868c00")</f>
        <v/>
      </c>
      <c r="I682">
        <f>HYPERLINK("Not Found")</f>
        <v/>
      </c>
      <c r="J682">
        <f>HYPERLINK("http://www.linkedin.com/company/c4-consulting-limited")</f>
        <v/>
      </c>
      <c r="K682">
        <f>HYPERLINK("Not Found")</f>
        <v/>
      </c>
      <c r="L682">
        <f>HYPERLINK("Not Found")</f>
        <v/>
      </c>
      <c r="M682" t="inlineStr">
        <is>
          <t>Warrington, United Kingdom</t>
        </is>
      </c>
      <c r="N682" t="inlineStr">
        <is>
          <t>40</t>
        </is>
      </c>
      <c r="O682" t="inlineStr">
        <is>
          <t>Commercial Real Estate</t>
        </is>
      </c>
      <c r="P682" t="inlineStr">
        <is>
          <t>building surveying,architecture,cost consultancy</t>
        </is>
      </c>
      <c r="Q682" t="inlineStr">
        <is>
          <t>Not Found</t>
        </is>
      </c>
    </row>
    <row r="683">
      <c r="A683" t="inlineStr">
        <is>
          <t>564d5212a6da98670601cd0a</t>
        </is>
      </c>
      <c r="B683" t="inlineStr">
        <is>
          <t>Neil Milling</t>
        </is>
      </c>
      <c r="C683">
        <f>HYPERLINK("http://www.linkedin.com/in/neil-milling-279b4227")</f>
        <v/>
      </c>
      <c r="D683" t="inlineStr">
        <is>
          <t>Not Found</t>
        </is>
      </c>
      <c r="E683" t="inlineStr">
        <is>
          <t>Associate Director</t>
        </is>
      </c>
      <c r="F683">
        <f>HYPERLINK("https://app.apollo.io/#/people/564d5212a6da98670601cd0a")</f>
        <v/>
      </c>
      <c r="G683" t="inlineStr">
        <is>
          <t>C4 Projects Limited</t>
        </is>
      </c>
      <c r="H683">
        <f>HYPERLINK("https://app.apollo.io/#/organizations/5569c1f27369642529868c00")</f>
        <v/>
      </c>
      <c r="I683">
        <f>HYPERLINK("Not Found")</f>
        <v/>
      </c>
      <c r="J683">
        <f>HYPERLINK("http://www.linkedin.com/company/c4-consulting-limited")</f>
        <v/>
      </c>
      <c r="K683">
        <f>HYPERLINK("Not Found")</f>
        <v/>
      </c>
      <c r="L683">
        <f>HYPERLINK("Not Found")</f>
        <v/>
      </c>
      <c r="M683" t="inlineStr">
        <is>
          <t>Manchester, United Kingdom</t>
        </is>
      </c>
      <c r="N683" t="inlineStr">
        <is>
          <t>40</t>
        </is>
      </c>
      <c r="O683" t="inlineStr">
        <is>
          <t>Commercial Real Estate</t>
        </is>
      </c>
      <c r="P683" t="inlineStr">
        <is>
          <t>building surveying,architecture,cost consultancy</t>
        </is>
      </c>
      <c r="Q683" t="inlineStr">
        <is>
          <t>Not Found</t>
        </is>
      </c>
    </row>
    <row r="684">
      <c r="A684" t="inlineStr">
        <is>
          <t>57d5fdbca6da98612808c313</t>
        </is>
      </c>
      <c r="B684" t="inlineStr">
        <is>
          <t>Pat Sutton</t>
        </is>
      </c>
      <c r="C684">
        <f>HYPERLINK("http://www.linkedin.com/in/pat-sutton-28094140")</f>
        <v/>
      </c>
      <c r="D684" t="inlineStr">
        <is>
          <t>Not Found</t>
        </is>
      </c>
      <c r="E684" t="inlineStr">
        <is>
          <t>Associate Director</t>
        </is>
      </c>
      <c r="F684">
        <f>HYPERLINK("https://app.apollo.io/#/people/57d5fdbca6da98612808c313")</f>
        <v/>
      </c>
      <c r="G684" t="inlineStr">
        <is>
          <t>Cushman &amp; Wakefield - Formerly DTZ</t>
        </is>
      </c>
      <c r="H684">
        <f>HYPERLINK("https://app.apollo.io/#/accounts/6578bef1ccf69c01ae54f888")</f>
        <v/>
      </c>
      <c r="I684">
        <f>HYPERLINK("http://www.cushwake-ni.com/")</f>
        <v/>
      </c>
      <c r="J684">
        <f>HYPERLINK("http://www.linkedin.com/company/dtz")</f>
        <v/>
      </c>
      <c r="K684">
        <f>HYPERLINK("Not Found")</f>
        <v/>
      </c>
      <c r="L684">
        <f>HYPERLINK("Not Found")</f>
        <v/>
      </c>
      <c r="M684" t="inlineStr">
        <is>
          <t>London, United Kingdom</t>
        </is>
      </c>
      <c r="N684" t="inlineStr">
        <is>
          <t>3,800</t>
        </is>
      </c>
      <c r="O684" t="inlineStr">
        <is>
          <t>Commercial Real Estate</t>
        </is>
      </c>
      <c r="P684" t="inlineStr">
        <is>
          <t>agency leasing,capital markets,consulting</t>
        </is>
      </c>
      <c r="Q684" t="inlineStr">
        <is>
          <t>Not Found</t>
        </is>
      </c>
    </row>
    <row r="685">
      <c r="A685" t="inlineStr">
        <is>
          <t>60c8922ff82e8f0001bfa514</t>
        </is>
      </c>
      <c r="B685" t="inlineStr">
        <is>
          <t>Shayla Cairns</t>
        </is>
      </c>
      <c r="C685">
        <f>HYPERLINK("http://www.linkedin.com/in/shayla-cairns-74256a143")</f>
        <v/>
      </c>
      <c r="D685" t="inlineStr">
        <is>
          <t>Not Found</t>
        </is>
      </c>
      <c r="E685" t="inlineStr">
        <is>
          <t>Associate Director</t>
        </is>
      </c>
      <c r="F685">
        <f>HYPERLINK("https://app.apollo.io/#/people/60c8922ff82e8f0001bfa514")</f>
        <v/>
      </c>
      <c r="G685" t="inlineStr">
        <is>
          <t>Colliers</t>
        </is>
      </c>
      <c r="H685">
        <f>HYPERLINK("https://app.apollo.io/#/accounts/64aaf6c63d556a0001e8eda6")</f>
        <v/>
      </c>
      <c r="I685">
        <f>HYPERLINK("http://www.colliers.com/")</f>
        <v/>
      </c>
      <c r="J685">
        <f>HYPERLINK("http://www.linkedin.com/company/colliers")</f>
        <v/>
      </c>
      <c r="K685">
        <f>HYPERLINK("https://twitter.com/Colliers")</f>
        <v/>
      </c>
      <c r="L685">
        <f>HYPERLINK("https://facebook.com/colliersinternational/")</f>
        <v/>
      </c>
      <c r="M685" t="inlineStr">
        <is>
          <t>London, United Kingdom</t>
        </is>
      </c>
      <c r="N685" t="inlineStr">
        <is>
          <t>25,000</t>
        </is>
      </c>
      <c r="O685" t="inlineStr">
        <is>
          <t>Commercial Real Estate</t>
        </is>
      </c>
      <c r="P685" t="inlineStr">
        <is>
          <t>brokerage &amp; agency,corporate solutions</t>
        </is>
      </c>
      <c r="Q685" t="inlineStr">
        <is>
          <t>Not Found</t>
        </is>
      </c>
    </row>
    <row r="686">
      <c r="A686" t="inlineStr">
        <is>
          <t>64e09b8e035d12000168ac60</t>
        </is>
      </c>
      <c r="B686" t="inlineStr">
        <is>
          <t>Lauren Saunders</t>
        </is>
      </c>
      <c r="C686">
        <f>HYPERLINK("http://www.linkedin.com/in/lauren-saunders-a7905b5a")</f>
        <v/>
      </c>
      <c r="D686" t="inlineStr">
        <is>
          <t>Not Found</t>
        </is>
      </c>
      <c r="E686" t="inlineStr">
        <is>
          <t>Director of Events</t>
        </is>
      </c>
      <c r="F686">
        <f>HYPERLINK("https://app.apollo.io/#/people/64e09b8e035d12000168ac60")</f>
        <v/>
      </c>
      <c r="G686" t="inlineStr">
        <is>
          <t>The Corcoran Group</t>
        </is>
      </c>
      <c r="H686">
        <f>HYPERLINK("https://app.apollo.io/#/organizations/54a12a6769702dcef98e1602")</f>
        <v/>
      </c>
      <c r="I686">
        <f>HYPERLINK("http://www.corcoran.com/")</f>
        <v/>
      </c>
      <c r="J686">
        <f>HYPERLINK("http://www.linkedin.com/company/the-corcoran-group")</f>
        <v/>
      </c>
      <c r="K686">
        <f>HYPERLINK("http://twitter.com/@TylerSchaeffer1")</f>
        <v/>
      </c>
      <c r="L686">
        <f>HYPERLINK("http://facebook.com/TALKtoTYLERaboutRealEstate")</f>
        <v/>
      </c>
      <c r="M686" t="inlineStr">
        <is>
          <t>Croydon, United Kingdom</t>
        </is>
      </c>
      <c r="N686" t="inlineStr">
        <is>
          <t>3,800</t>
        </is>
      </c>
      <c r="O686" t="inlineStr">
        <is>
          <t>Commercial Real Estate</t>
        </is>
      </c>
      <c r="P686" t="inlineStr">
        <is>
          <t>real estate,commercial real estate,real estate investors</t>
        </is>
      </c>
      <c r="Q686" t="inlineStr">
        <is>
          <t>Not Found</t>
        </is>
      </c>
    </row>
    <row r="687">
      <c r="A687" t="inlineStr">
        <is>
          <t>5d3ceeaaa3ae61b7fe77a939</t>
        </is>
      </c>
      <c r="B687" t="inlineStr">
        <is>
          <t>Luke Ratcliffe</t>
        </is>
      </c>
      <c r="C687">
        <f>HYPERLINK("http://www.linkedin.com/in/luke-ratcliffe-0a8a08158")</f>
        <v/>
      </c>
      <c r="D687" t="inlineStr">
        <is>
          <t>Not Found</t>
        </is>
      </c>
      <c r="E687" t="inlineStr">
        <is>
          <t>Account Director</t>
        </is>
      </c>
      <c r="F687">
        <f>HYPERLINK("https://app.apollo.io/#/people/5d3ceeaaa3ae61b7fe77a939")</f>
        <v/>
      </c>
      <c r="G687" t="inlineStr">
        <is>
          <t>CBRE Global Workplace Solutions (GWS)</t>
        </is>
      </c>
      <c r="H687">
        <f>HYPERLINK("https://app.apollo.io/#/accounts/6509fed6f449800001b69a15")</f>
        <v/>
      </c>
      <c r="I687">
        <f>HYPERLINK("http://www.coor.com/")</f>
        <v/>
      </c>
      <c r="J687">
        <f>HYPERLINK("http://www.linkedin.com/company/cbre-gws")</f>
        <v/>
      </c>
      <c r="K687">
        <f>HYPERLINK("Not Found")</f>
        <v/>
      </c>
      <c r="L687">
        <f>HYPERLINK("Not Found")</f>
        <v/>
      </c>
      <c r="M687" t="inlineStr">
        <is>
          <t>London, United Kingdom</t>
        </is>
      </c>
      <c r="N687" t="inlineStr">
        <is>
          <t>15,000</t>
        </is>
      </c>
      <c r="O687" t="inlineStr">
        <is>
          <t>Commercial Real Estate</t>
        </is>
      </c>
      <c r="P687" t="inlineStr">
        <is>
          <t>project management,advisory,transaction services</t>
        </is>
      </c>
      <c r="Q687" t="inlineStr">
        <is>
          <t>Not Found</t>
        </is>
      </c>
    </row>
    <row r="688">
      <c r="A688" t="inlineStr">
        <is>
          <t>54a9a6af746869334aebef16</t>
        </is>
      </c>
      <c r="B688" t="inlineStr">
        <is>
          <t>Ben Purdue</t>
        </is>
      </c>
      <c r="C688">
        <f>HYPERLINK("http://www.linkedin.com/in/ben-purdue-471b34a3")</f>
        <v/>
      </c>
      <c r="D688" t="inlineStr">
        <is>
          <t>Not Found</t>
        </is>
      </c>
      <c r="E688" t="inlineStr">
        <is>
          <t>Finance Director</t>
        </is>
      </c>
      <c r="F688">
        <f>HYPERLINK("https://app.apollo.io/#/people/54a9a6af746869334aebef16")</f>
        <v/>
      </c>
      <c r="G688" t="inlineStr">
        <is>
          <t>CBRE Global Workplace Solutions (GWS)</t>
        </is>
      </c>
      <c r="H688">
        <f>HYPERLINK("https://app.apollo.io/#/accounts/6509fed6f449800001b69a15")</f>
        <v/>
      </c>
      <c r="I688">
        <f>HYPERLINK("http://www.coor.com/")</f>
        <v/>
      </c>
      <c r="J688">
        <f>HYPERLINK("http://www.linkedin.com/company/cbre-gws")</f>
        <v/>
      </c>
      <c r="K688">
        <f>HYPERLINK("Not Found")</f>
        <v/>
      </c>
      <c r="L688">
        <f>HYPERLINK("Not Found")</f>
        <v/>
      </c>
      <c r="M688" t="inlineStr">
        <is>
          <t>England, United Kingdom</t>
        </is>
      </c>
      <c r="N688" t="inlineStr">
        <is>
          <t>15,000</t>
        </is>
      </c>
      <c r="O688" t="inlineStr">
        <is>
          <t>Commercial Real Estate</t>
        </is>
      </c>
      <c r="P688" t="inlineStr">
        <is>
          <t>project management,advisory,transaction services</t>
        </is>
      </c>
      <c r="Q688" t="inlineStr">
        <is>
          <t>Not Found</t>
        </is>
      </c>
    </row>
    <row r="689">
      <c r="A689" t="inlineStr">
        <is>
          <t>60b236a1de303200012927b7</t>
        </is>
      </c>
      <c r="B689" t="inlineStr">
        <is>
          <t>Sarah Petrie</t>
        </is>
      </c>
      <c r="C689">
        <f>HYPERLINK("http://www.linkedin.com/in/sarah-petrie-07485730")</f>
        <v/>
      </c>
      <c r="D689" t="inlineStr">
        <is>
          <t>Not Found</t>
        </is>
      </c>
      <c r="E689" t="inlineStr">
        <is>
          <t>Innovation Director</t>
        </is>
      </c>
      <c r="F689">
        <f>HYPERLINK("https://app.apollo.io/#/people/60b236a1de303200012927b7")</f>
        <v/>
      </c>
      <c r="G689" t="inlineStr">
        <is>
          <t>Michelin Scotland Innovation Parc</t>
        </is>
      </c>
      <c r="H689">
        <f>HYPERLINK("https://app.apollo.io/#/accounts/6578ba9c6a983e02ceae9d6f")</f>
        <v/>
      </c>
      <c r="I689">
        <f>HYPERLINK("http://www.msipdundee.com/")</f>
        <v/>
      </c>
      <c r="J689">
        <f>HYPERLINK("http://www.linkedin.com/company/michelin-scotland-innovation-parc")</f>
        <v/>
      </c>
      <c r="K689">
        <f>HYPERLINK("Not Found")</f>
        <v/>
      </c>
      <c r="L689">
        <f>HYPERLINK("Not Found")</f>
        <v/>
      </c>
      <c r="M689" t="inlineStr">
        <is>
          <t>Dundee, United Kingdom</t>
        </is>
      </c>
      <c r="N689" t="inlineStr">
        <is>
          <t>15</t>
        </is>
      </c>
      <c r="O689" t="inlineStr">
        <is>
          <t>Commercial Real Estate</t>
        </is>
      </c>
      <c r="Q689" t="inlineStr">
        <is>
          <t>Not Found</t>
        </is>
      </c>
    </row>
    <row r="690">
      <c r="A690" t="inlineStr">
        <is>
          <t>54a631a57468693442f1b1c9</t>
        </is>
      </c>
      <c r="B690" t="inlineStr">
        <is>
          <t>Richard Hobbs</t>
        </is>
      </c>
      <c r="C690">
        <f>HYPERLINK("http://www.linkedin.com/in/richard-hobbs-9638a53b")</f>
        <v/>
      </c>
      <c r="D690" t="inlineStr">
        <is>
          <t>Not Found</t>
        </is>
      </c>
      <c r="E690" t="inlineStr">
        <is>
          <t>Sales Director</t>
        </is>
      </c>
      <c r="F690">
        <f>HYPERLINK("https://app.apollo.io/#/people/54a631a57468693442f1b1c9")</f>
        <v/>
      </c>
      <c r="G690" t="inlineStr">
        <is>
          <t>CBRE Global Workplace Solutions (GWS)</t>
        </is>
      </c>
      <c r="H690">
        <f>HYPERLINK("https://app.apollo.io/#/accounts/6509fed6f449800001b69a15")</f>
        <v/>
      </c>
      <c r="I690">
        <f>HYPERLINK("http://www.coor.com/")</f>
        <v/>
      </c>
      <c r="J690">
        <f>HYPERLINK("http://www.linkedin.com/company/cbre-gws")</f>
        <v/>
      </c>
      <c r="K690">
        <f>HYPERLINK("Not Found")</f>
        <v/>
      </c>
      <c r="L690">
        <f>HYPERLINK("Not Found")</f>
        <v/>
      </c>
      <c r="M690" t="inlineStr">
        <is>
          <t>London, United Kingdom</t>
        </is>
      </c>
      <c r="N690" t="inlineStr">
        <is>
          <t>15,000</t>
        </is>
      </c>
      <c r="O690" t="inlineStr">
        <is>
          <t>Commercial Real Estate</t>
        </is>
      </c>
      <c r="P690" t="inlineStr">
        <is>
          <t>project management,advisory,transaction services</t>
        </is>
      </c>
      <c r="Q690" t="inlineStr">
        <is>
          <t>Not Found</t>
        </is>
      </c>
    </row>
    <row r="691">
      <c r="A691" t="inlineStr">
        <is>
          <t>54c1f1e67468697af7c6be61</t>
        </is>
      </c>
      <c r="B691" t="inlineStr">
        <is>
          <t>Josef O'Sullivan</t>
        </is>
      </c>
      <c r="C691">
        <f>HYPERLINK("http://www.linkedin.com/in/josef-o-sullivan-1203a39")</f>
        <v/>
      </c>
      <c r="D691" t="inlineStr">
        <is>
          <t>Not Found</t>
        </is>
      </c>
      <c r="E691" t="inlineStr">
        <is>
          <t>Centre Director</t>
        </is>
      </c>
      <c r="F691">
        <f>HYPERLINK("https://app.apollo.io/#/people/54c1f1e67468697af7c6be61")</f>
        <v/>
      </c>
      <c r="G691" t="inlineStr">
        <is>
          <t>Landsec</t>
        </is>
      </c>
      <c r="H691">
        <f>HYPERLINK("https://app.apollo.io/#/accounts/6578b86a75dc3a02ccc995c8")</f>
        <v/>
      </c>
      <c r="I691">
        <f>HYPERLINK("http://www.landsec.com/")</f>
        <v/>
      </c>
      <c r="J691">
        <f>HYPERLINK("http://www.linkedin.com/company/landsec")</f>
        <v/>
      </c>
      <c r="K691">
        <f>HYPERLINK("https://twitter.com/landsecgroup?lang=en")</f>
        <v/>
      </c>
      <c r="L691">
        <f>HYPERLINK("https://facebook.com/pages/category/Real-Estate-Company/Landsec-Group-335042077050643/")</f>
        <v/>
      </c>
      <c r="M691" t="inlineStr">
        <is>
          <t>Braintree, United Kingdom</t>
        </is>
      </c>
      <c r="N691" t="inlineStr">
        <is>
          <t>860</t>
        </is>
      </c>
      <c r="O691" t="inlineStr">
        <is>
          <t>Commercial Real Estate</t>
        </is>
      </c>
      <c r="P691" t="inlineStr">
        <is>
          <t>property investment,management &amp; development</t>
        </is>
      </c>
      <c r="Q691" t="inlineStr">
        <is>
          <t>Not Found</t>
        </is>
      </c>
    </row>
    <row r="692">
      <c r="A692" t="inlineStr">
        <is>
          <t>5ac58ec6a6da9891acca1543</t>
        </is>
      </c>
      <c r="B692" t="inlineStr">
        <is>
          <t>Tim Seabrook</t>
        </is>
      </c>
      <c r="C692">
        <f>HYPERLINK("http://www.linkedin.com/in/timseabrook")</f>
        <v/>
      </c>
      <c r="D692" t="inlineStr">
        <is>
          <t>Not Found</t>
        </is>
      </c>
      <c r="E692" t="inlineStr">
        <is>
          <t>Managing Director</t>
        </is>
      </c>
      <c r="F692">
        <f>HYPERLINK("https://app.apollo.io/#/people/5ac58ec6a6da9891acca1543")</f>
        <v/>
      </c>
      <c r="G692" t="inlineStr">
        <is>
          <t>Scanland Built Environment</t>
        </is>
      </c>
      <c r="H692">
        <f>HYPERLINK("https://app.apollo.io/#/organizations/63d3ae969fbc230001aeea91")</f>
        <v/>
      </c>
      <c r="I692">
        <f>HYPERLINK("http://www.scanland.co.uk/")</f>
        <v/>
      </c>
      <c r="J692">
        <f>HYPERLINK("http://www.linkedin.com/company/scanland-built-environment")</f>
        <v/>
      </c>
      <c r="K692">
        <f>HYPERLINK("Not Found")</f>
        <v/>
      </c>
      <c r="L692">
        <f>HYPERLINK("Not Found")</f>
        <v/>
      </c>
      <c r="M692" t="inlineStr">
        <is>
          <t>London, United Kingdom</t>
        </is>
      </c>
      <c r="N692" t="inlineStr">
        <is>
          <t>10</t>
        </is>
      </c>
      <c r="O692" t="inlineStr">
        <is>
          <t>Commercial Real Estate</t>
        </is>
      </c>
      <c r="P692" t="inlineStr">
        <is>
          <t>commercial real estate,project management</t>
        </is>
      </c>
      <c r="Q692" t="inlineStr">
        <is>
          <t>Not Found</t>
        </is>
      </c>
    </row>
    <row r="693">
      <c r="A693" t="inlineStr">
        <is>
          <t>54a728f574686975f8defa1a</t>
        </is>
      </c>
      <c r="B693" t="inlineStr">
        <is>
          <t>Charlotte Syeda-Aguirre</t>
        </is>
      </c>
      <c r="C693">
        <f>HYPERLINK("http://www.linkedin.com/in/charlottequartly")</f>
        <v/>
      </c>
      <c r="D693" t="inlineStr">
        <is>
          <t>Not Found</t>
        </is>
      </c>
      <c r="E693" t="inlineStr">
        <is>
          <t>Marketing Director</t>
        </is>
      </c>
      <c r="F693">
        <f>HYPERLINK("https://app.apollo.io/#/people/54a728f574686975f8defa1a")</f>
        <v/>
      </c>
      <c r="G693" t="inlineStr">
        <is>
          <t>Soul Spaces</t>
        </is>
      </c>
      <c r="H693">
        <f>HYPERLINK("https://app.apollo.io/#/organizations/5f4b4e8e4ec730000161310a")</f>
        <v/>
      </c>
      <c r="I693">
        <f>HYPERLINK("http://www.soulspaces.london/")</f>
        <v/>
      </c>
      <c r="J693">
        <f>HYPERLINK("http://www.linkedin.com/company/soulspaces")</f>
        <v/>
      </c>
      <c r="K693">
        <f>HYPERLINK("https://twitter.com/soulspaces_uk")</f>
        <v/>
      </c>
      <c r="L693">
        <f>HYPERLINK("Not Found")</f>
        <v/>
      </c>
      <c r="M693" t="inlineStr">
        <is>
          <t>South Croydon, United Kingdom</t>
        </is>
      </c>
      <c r="N693" t="inlineStr">
        <is>
          <t>10</t>
        </is>
      </c>
      <c r="O693" t="inlineStr">
        <is>
          <t>Commercial Real Estate</t>
        </is>
      </c>
      <c r="P693" t="inlineStr">
        <is>
          <t>design &amp; build,office space,commercial real estate</t>
        </is>
      </c>
      <c r="Q693" t="inlineStr">
        <is>
          <t>Not Found</t>
        </is>
      </c>
    </row>
    <row r="694">
      <c r="A694" t="inlineStr">
        <is>
          <t>634748a84d07f3000171de6c</t>
        </is>
      </c>
      <c r="B694" t="inlineStr">
        <is>
          <t>Sean Tsoi</t>
        </is>
      </c>
      <c r="C694">
        <f>HYPERLINK("http://www.linkedin.com/in/sean-tsoi-15871318")</f>
        <v/>
      </c>
      <c r="D694" t="inlineStr">
        <is>
          <t>Not Found</t>
        </is>
      </c>
      <c r="E694" t="inlineStr">
        <is>
          <t>Associate Director</t>
        </is>
      </c>
      <c r="F694">
        <f>HYPERLINK("https://app.apollo.io/#/people/634748a84d07f3000171de6c")</f>
        <v/>
      </c>
      <c r="G694" t="inlineStr">
        <is>
          <t>Colliers</t>
        </is>
      </c>
      <c r="H694">
        <f>HYPERLINK("https://app.apollo.io/#/accounts/64aaf6c63d556a0001e8eda6")</f>
        <v/>
      </c>
      <c r="I694">
        <f>HYPERLINK("http://www.colliers.com/")</f>
        <v/>
      </c>
      <c r="J694">
        <f>HYPERLINK("http://www.linkedin.com/company/colliers")</f>
        <v/>
      </c>
      <c r="K694">
        <f>HYPERLINK("https://twitter.com/Colliers")</f>
        <v/>
      </c>
      <c r="L694">
        <f>HYPERLINK("https://facebook.com/colliersinternational/")</f>
        <v/>
      </c>
      <c r="M694" t="inlineStr">
        <is>
          <t>West End, United Kingdom</t>
        </is>
      </c>
      <c r="N694" t="inlineStr">
        <is>
          <t>25,000</t>
        </is>
      </c>
      <c r="O694" t="inlineStr">
        <is>
          <t>Commercial Real Estate</t>
        </is>
      </c>
      <c r="P694" t="inlineStr">
        <is>
          <t>brokerage &amp; agency,corporate solutions</t>
        </is>
      </c>
      <c r="Q694" t="inlineStr">
        <is>
          <t>Not Found</t>
        </is>
      </c>
    </row>
    <row r="695">
      <c r="A695" t="inlineStr">
        <is>
          <t>57e1a810a6da9856dadaa6a8</t>
        </is>
      </c>
      <c r="B695" t="inlineStr">
        <is>
          <t>Warren Cull</t>
        </is>
      </c>
      <c r="C695">
        <f>HYPERLINK("http://www.linkedin.com/in/warren-cull-b3317736")</f>
        <v/>
      </c>
      <c r="D695" t="inlineStr">
        <is>
          <t>Not Found</t>
        </is>
      </c>
      <c r="E695" t="inlineStr">
        <is>
          <t>Infrastructure Director</t>
        </is>
      </c>
      <c r="F695">
        <f>HYPERLINK("https://app.apollo.io/#/people/57e1a810a6da9856dadaa6a8")</f>
        <v/>
      </c>
      <c r="G695" t="inlineStr">
        <is>
          <t>Newlands Property Developments LLP</t>
        </is>
      </c>
      <c r="H695">
        <f>HYPERLINK("https://app.apollo.io/#/organizations/5da2a196ee571f000133c09a")</f>
        <v/>
      </c>
      <c r="I695">
        <f>HYPERLINK("http://www.newlandsuk.com/")</f>
        <v/>
      </c>
      <c r="J695">
        <f>HYPERLINK("http://www.linkedin.com/company/newlands-property-developments-llp")</f>
        <v/>
      </c>
      <c r="K695">
        <f>HYPERLINK("Not Found")</f>
        <v/>
      </c>
      <c r="L695">
        <f>HYPERLINK("Not Found")</f>
        <v/>
      </c>
      <c r="M695" t="inlineStr">
        <is>
          <t>Northampton, United Kingdom</t>
        </is>
      </c>
      <c r="N695" t="inlineStr">
        <is>
          <t>14</t>
        </is>
      </c>
      <c r="O695" t="inlineStr">
        <is>
          <t>Commercial Real Estate</t>
        </is>
      </c>
      <c r="P695" t="inlineStr">
        <is>
          <t>commercial real estate</t>
        </is>
      </c>
      <c r="Q695" t="inlineStr">
        <is>
          <t>Not Found</t>
        </is>
      </c>
    </row>
    <row r="696">
      <c r="A696" t="inlineStr">
        <is>
          <t>6578c0361823b201ae2f222e</t>
        </is>
      </c>
      <c r="B696" t="inlineStr">
        <is>
          <t>Sally Ellis</t>
        </is>
      </c>
      <c r="C696">
        <f>HYPERLINK("http://www.linkedin.com/in/sally-ellis-87017189")</f>
        <v/>
      </c>
      <c r="D696" t="inlineStr">
        <is>
          <t>Not Found</t>
        </is>
      </c>
      <c r="E696" t="inlineStr">
        <is>
          <t>Personnel Officer &amp; PA to Group Chief Executive</t>
        </is>
      </c>
      <c r="F696">
        <f>HYPERLINK("https://app.apollo.io/#/contacts/6578c0361823b201ae2f222e")</f>
        <v/>
      </c>
      <c r="G696" t="inlineStr">
        <is>
          <t>Dawsongroup</t>
        </is>
      </c>
      <c r="H696">
        <f>HYPERLINK("https://app.apollo.io/#/accounts/6578bdff73d31601aeef274e")</f>
        <v/>
      </c>
      <c r="I696">
        <f>HYPERLINK("http://www.dawsongroup.co.uk/")</f>
        <v/>
      </c>
      <c r="J696">
        <f>HYPERLINK("http://www.linkedin.com/company/dawsongroup-plc")</f>
        <v/>
      </c>
      <c r="K696">
        <f>HYPERLINK("https://twitter.com/dawsongroupplc")</f>
        <v/>
      </c>
      <c r="L696">
        <f>HYPERLINK("Not Found")</f>
        <v/>
      </c>
      <c r="M696" t="inlineStr">
        <is>
          <t>United Kingdom</t>
        </is>
      </c>
      <c r="N696" t="inlineStr">
        <is>
          <t>390</t>
        </is>
      </c>
      <c r="O696" t="inlineStr">
        <is>
          <t>Commercial Real Estate</t>
        </is>
      </c>
      <c r="P696" t="inlineStr">
        <is>
          <t>asset management,rental</t>
        </is>
      </c>
      <c r="Q696" t="inlineStr">
        <is>
          <t>+441908218111</t>
        </is>
      </c>
    </row>
    <row r="697">
      <c r="A697" t="inlineStr">
        <is>
          <t>57d864a6a6da9878a3229863</t>
        </is>
      </c>
      <c r="B697" t="inlineStr">
        <is>
          <t>Kim Mulligan</t>
        </is>
      </c>
      <c r="C697">
        <f>HYPERLINK("http://www.linkedin.com/in/kim-mulligan-a1519453")</f>
        <v/>
      </c>
      <c r="D697" t="inlineStr">
        <is>
          <t>Not Found</t>
        </is>
      </c>
      <c r="E697" t="inlineStr">
        <is>
          <t>Account Director</t>
        </is>
      </c>
      <c r="F697">
        <f>HYPERLINK("https://app.apollo.io/#/people/57d864a6a6da9878a3229863")</f>
        <v/>
      </c>
      <c r="G697" t="inlineStr">
        <is>
          <t>CBRE Global Workplace Solutions (GWS)</t>
        </is>
      </c>
      <c r="H697">
        <f>HYPERLINK("https://app.apollo.io/#/accounts/6509fed6f449800001b69a15")</f>
        <v/>
      </c>
      <c r="I697">
        <f>HYPERLINK("http://www.coor.com/")</f>
        <v/>
      </c>
      <c r="J697">
        <f>HYPERLINK("http://www.linkedin.com/company/cbre-gws")</f>
        <v/>
      </c>
      <c r="K697">
        <f>HYPERLINK("Not Found")</f>
        <v/>
      </c>
      <c r="L697">
        <f>HYPERLINK("Not Found")</f>
        <v/>
      </c>
      <c r="M697" t="inlineStr">
        <is>
          <t>London, United Kingdom</t>
        </is>
      </c>
      <c r="N697" t="inlineStr">
        <is>
          <t>15,000</t>
        </is>
      </c>
      <c r="O697" t="inlineStr">
        <is>
          <t>Commercial Real Estate</t>
        </is>
      </c>
      <c r="P697" t="inlineStr">
        <is>
          <t>project management,advisory,transaction services</t>
        </is>
      </c>
      <c r="Q697" t="inlineStr">
        <is>
          <t>Not Found</t>
        </is>
      </c>
    </row>
    <row r="698">
      <c r="A698" t="inlineStr">
        <is>
          <t>6254519942af070001d3928e</t>
        </is>
      </c>
      <c r="B698" t="inlineStr">
        <is>
          <t>Jamie McDonald</t>
        </is>
      </c>
      <c r="C698">
        <f>HYPERLINK("http://www.linkedin.com/in/jamie-mcdonald-63a42b135")</f>
        <v/>
      </c>
      <c r="D698" t="inlineStr">
        <is>
          <t>Not Found</t>
        </is>
      </c>
      <c r="E698" t="inlineStr">
        <is>
          <t>QHSE Director</t>
        </is>
      </c>
      <c r="F698">
        <f>HYPERLINK("https://app.apollo.io/#/people/6254519942af070001d3928e")</f>
        <v/>
      </c>
      <c r="G698" t="inlineStr">
        <is>
          <t>CBRE Global Workplace Solutions (GWS)</t>
        </is>
      </c>
      <c r="H698">
        <f>HYPERLINK("https://app.apollo.io/#/accounts/6509fed6f449800001b69a15")</f>
        <v/>
      </c>
      <c r="I698">
        <f>HYPERLINK("http://www.coor.com/")</f>
        <v/>
      </c>
      <c r="J698">
        <f>HYPERLINK("http://www.linkedin.com/company/cbre-gws")</f>
        <v/>
      </c>
      <c r="K698">
        <f>HYPERLINK("Not Found")</f>
        <v/>
      </c>
      <c r="L698">
        <f>HYPERLINK("Not Found")</f>
        <v/>
      </c>
      <c r="M698" t="inlineStr">
        <is>
          <t>Norwich, United Kingdom</t>
        </is>
      </c>
      <c r="N698" t="inlineStr">
        <is>
          <t>15,000</t>
        </is>
      </c>
      <c r="O698" t="inlineStr">
        <is>
          <t>Commercial Real Estate</t>
        </is>
      </c>
      <c r="P698" t="inlineStr">
        <is>
          <t>project management,advisory,transaction services</t>
        </is>
      </c>
      <c r="Q698" t="inlineStr">
        <is>
          <t>Not Found</t>
        </is>
      </c>
    </row>
    <row r="699">
      <c r="A699" t="inlineStr">
        <is>
          <t>54a30b9374686930c2529850</t>
        </is>
      </c>
      <c r="B699" t="inlineStr">
        <is>
          <t>Adrian Tucker</t>
        </is>
      </c>
      <c r="C699">
        <f>HYPERLINK("http://www.linkedin.com/in/adrian-tucker-mrics-24811463")</f>
        <v/>
      </c>
      <c r="D699" t="inlineStr">
        <is>
          <t>Not Found</t>
        </is>
      </c>
      <c r="E699" t="inlineStr">
        <is>
          <t>Account Director</t>
        </is>
      </c>
      <c r="F699">
        <f>HYPERLINK("https://app.apollo.io/#/people/54a30b9374686930c2529850")</f>
        <v/>
      </c>
      <c r="G699" t="inlineStr">
        <is>
          <t>CBRE Global Workplace Solutions (GWS)</t>
        </is>
      </c>
      <c r="H699">
        <f>HYPERLINK("https://app.apollo.io/#/accounts/6509fed6f449800001b69a15")</f>
        <v/>
      </c>
      <c r="I699">
        <f>HYPERLINK("http://www.coor.com/")</f>
        <v/>
      </c>
      <c r="J699">
        <f>HYPERLINK("http://www.linkedin.com/company/cbre-gws")</f>
        <v/>
      </c>
      <c r="K699">
        <f>HYPERLINK("Not Found")</f>
        <v/>
      </c>
      <c r="L699">
        <f>HYPERLINK("Not Found")</f>
        <v/>
      </c>
      <c r="M699" t="inlineStr">
        <is>
          <t>Slough, United Kingdom</t>
        </is>
      </c>
      <c r="N699" t="inlineStr">
        <is>
          <t>15,000</t>
        </is>
      </c>
      <c r="O699" t="inlineStr">
        <is>
          <t>Commercial Real Estate</t>
        </is>
      </c>
      <c r="P699" t="inlineStr">
        <is>
          <t>project management,advisory,transaction services</t>
        </is>
      </c>
      <c r="Q699" t="inlineStr">
        <is>
          <t>Not Found</t>
        </is>
      </c>
    </row>
    <row r="700">
      <c r="A700" t="inlineStr">
        <is>
          <t>57db4cdaa6da984c2083275a</t>
        </is>
      </c>
      <c r="B700" t="inlineStr">
        <is>
          <t>Bradley Harrison</t>
        </is>
      </c>
      <c r="C700">
        <f>HYPERLINK("http://www.linkedin.com/in/bradley-harrison-5b835b80")</f>
        <v/>
      </c>
      <c r="D700" t="inlineStr">
        <is>
          <t>Not Found</t>
        </is>
      </c>
      <c r="E700" t="inlineStr">
        <is>
          <t>Associate Director</t>
        </is>
      </c>
      <c r="F700">
        <f>HYPERLINK("https://app.apollo.io/#/people/57db4cdaa6da984c2083275a")</f>
        <v/>
      </c>
      <c r="G700" t="inlineStr">
        <is>
          <t>EDGE</t>
        </is>
      </c>
      <c r="H700">
        <f>HYPERLINK("https://app.apollo.io/#/accounts/6578c3ae48f92e03e9979f91")</f>
        <v/>
      </c>
      <c r="I700">
        <f>HYPERLINK("http://www.edge.tech/")</f>
        <v/>
      </c>
      <c r="J700">
        <f>HYPERLINK("http://www.linkedin.com/company/edge-real-tech")</f>
        <v/>
      </c>
      <c r="K700">
        <f>HYPERLINK("https://twitter.com/edgetech_")</f>
        <v/>
      </c>
      <c r="L700">
        <f>HYPERLINK("Not Found")</f>
        <v/>
      </c>
      <c r="M700" t="inlineStr">
        <is>
          <t>Wakefield, United Kingdom</t>
        </is>
      </c>
      <c r="N700" t="inlineStr">
        <is>
          <t>180</t>
        </is>
      </c>
      <c r="O700" t="inlineStr">
        <is>
          <t>Commercial Real Estate</t>
        </is>
      </c>
      <c r="P700" t="inlineStr">
        <is>
          <t>circular economy,building development</t>
        </is>
      </c>
      <c r="Q700" t="inlineStr">
        <is>
          <t>Not Found</t>
        </is>
      </c>
    </row>
    <row r="701">
      <c r="A701" t="inlineStr">
        <is>
          <t>5b213e1ba6da98ee98242625</t>
        </is>
      </c>
      <c r="B701" t="inlineStr">
        <is>
          <t>Carl White</t>
        </is>
      </c>
      <c r="C701">
        <f>HYPERLINK("http://www.linkedin.com/in/carl-white-realestate")</f>
        <v/>
      </c>
      <c r="D701" t="inlineStr">
        <is>
          <t>Not Found</t>
        </is>
      </c>
      <c r="E701" t="inlineStr">
        <is>
          <t>Investment Director</t>
        </is>
      </c>
      <c r="F701">
        <f>HYPERLINK("https://app.apollo.io/#/people/5b213e1ba6da98ee98242625")</f>
        <v/>
      </c>
      <c r="G701" t="inlineStr">
        <is>
          <t>Goodstone Living</t>
        </is>
      </c>
      <c r="H701">
        <f>HYPERLINK("https://app.apollo.io/#/accounts/6578bc2bf8c62e01aef7c24f")</f>
        <v/>
      </c>
      <c r="I701">
        <f>HYPERLINK("http://www.goodstoneliving.com/")</f>
        <v/>
      </c>
      <c r="J701">
        <f>HYPERLINK("http://www.linkedin.com/company/goodstone-living")</f>
        <v/>
      </c>
      <c r="K701">
        <f>HYPERLINK("https://twitter.com/GoodstoneLiving")</f>
        <v/>
      </c>
      <c r="L701">
        <f>HYPERLINK("Not Found")</f>
        <v/>
      </c>
      <c r="M701" t="inlineStr">
        <is>
          <t>London, United Kingdom</t>
        </is>
      </c>
      <c r="N701" t="inlineStr">
        <is>
          <t>17</t>
        </is>
      </c>
      <c r="O701" t="inlineStr">
        <is>
          <t>Commercial Real Estate</t>
        </is>
      </c>
      <c r="Q701" t="inlineStr">
        <is>
          <t>Not Found</t>
        </is>
      </c>
    </row>
    <row r="702">
      <c r="A702" t="inlineStr">
        <is>
          <t>60fad802ed3856000126992a</t>
        </is>
      </c>
      <c r="B702" t="inlineStr">
        <is>
          <t>Nick Bates</t>
        </is>
      </c>
      <c r="C702">
        <f>HYPERLINK("http://www.linkedin.com/in/nick-bates-846a3a45")</f>
        <v/>
      </c>
      <c r="D702" t="inlineStr">
        <is>
          <t>Not Found</t>
        </is>
      </c>
      <c r="E702" t="inlineStr">
        <is>
          <t>Portfolio Director</t>
        </is>
      </c>
      <c r="F702">
        <f>HYPERLINK("https://app.apollo.io/#/people/60fad802ed3856000126992a")</f>
        <v/>
      </c>
      <c r="G702" t="inlineStr">
        <is>
          <t>Landsec</t>
        </is>
      </c>
      <c r="H702">
        <f>HYPERLINK("https://app.apollo.io/#/accounts/6578b86a75dc3a02ccc995c8")</f>
        <v/>
      </c>
      <c r="I702">
        <f>HYPERLINK("http://www.landsec.com/")</f>
        <v/>
      </c>
      <c r="J702">
        <f>HYPERLINK("http://www.linkedin.com/company/landsec")</f>
        <v/>
      </c>
      <c r="K702">
        <f>HYPERLINK("https://twitter.com/landsecgroup?lang=en")</f>
        <v/>
      </c>
      <c r="L702">
        <f>HYPERLINK("https://facebook.com/pages/category/Real-Estate-Company/Landsec-Group-335042077050643/")</f>
        <v/>
      </c>
      <c r="M702" t="inlineStr">
        <is>
          <t>Reading, United Kingdom</t>
        </is>
      </c>
      <c r="N702" t="inlineStr">
        <is>
          <t>860</t>
        </is>
      </c>
      <c r="O702" t="inlineStr">
        <is>
          <t>Commercial Real Estate</t>
        </is>
      </c>
      <c r="P702" t="inlineStr">
        <is>
          <t>property investment,management &amp; development</t>
        </is>
      </c>
      <c r="Q702" t="inlineStr">
        <is>
          <t>Not Found</t>
        </is>
      </c>
    </row>
    <row r="703">
      <c r="A703" t="inlineStr">
        <is>
          <t>5b9116ecf874f72aae628b35</t>
        </is>
      </c>
      <c r="B703" t="inlineStr">
        <is>
          <t>Fraser Black</t>
        </is>
      </c>
      <c r="C703">
        <f>HYPERLINK("http://www.linkedin.com/in/fraser-black-27737538")</f>
        <v/>
      </c>
      <c r="D703" t="inlineStr">
        <is>
          <t>Not Found</t>
        </is>
      </c>
      <c r="E703" t="inlineStr">
        <is>
          <t>Alliance Director</t>
        </is>
      </c>
      <c r="F703">
        <f>HYPERLINK("https://app.apollo.io/#/people/5b9116ecf874f72aae628b35")</f>
        <v/>
      </c>
      <c r="G703" t="inlineStr">
        <is>
          <t>CBRE Global Workplace Solutions (GWS)</t>
        </is>
      </c>
      <c r="H703">
        <f>HYPERLINK("https://app.apollo.io/#/accounts/6509fed6f449800001b69a15")</f>
        <v/>
      </c>
      <c r="I703">
        <f>HYPERLINK("http://www.coor.com/")</f>
        <v/>
      </c>
      <c r="J703">
        <f>HYPERLINK("http://www.linkedin.com/company/cbre-gws")</f>
        <v/>
      </c>
      <c r="K703">
        <f>HYPERLINK("Not Found")</f>
        <v/>
      </c>
      <c r="L703">
        <f>HYPERLINK("Not Found")</f>
        <v/>
      </c>
      <c r="M703" t="inlineStr">
        <is>
          <t>Edinburgh, United Kingdom</t>
        </is>
      </c>
      <c r="N703" t="inlineStr">
        <is>
          <t>15,000</t>
        </is>
      </c>
      <c r="O703" t="inlineStr">
        <is>
          <t>Commercial Real Estate</t>
        </is>
      </c>
      <c r="P703" t="inlineStr">
        <is>
          <t>project management,advisory,transaction services</t>
        </is>
      </c>
      <c r="Q703" t="inlineStr">
        <is>
          <t>Not Found</t>
        </is>
      </c>
    </row>
    <row r="704">
      <c r="A704" t="inlineStr">
        <is>
          <t>56c3fe1cf3e5bb4b14005aa1</t>
        </is>
      </c>
      <c r="B704" t="inlineStr">
        <is>
          <t>Fergus Forsyth</t>
        </is>
      </c>
      <c r="C704">
        <f>HYPERLINK("http://www.linkedin.com/in/fergusforsyth")</f>
        <v/>
      </c>
      <c r="D704" t="inlineStr">
        <is>
          <t>Not Found</t>
        </is>
      </c>
      <c r="E704" t="inlineStr">
        <is>
          <t>Associate Director</t>
        </is>
      </c>
      <c r="F704">
        <f>HYPERLINK("https://app.apollo.io/#/people/56c3fe1cf3e5bb4b14005aa1")</f>
        <v/>
      </c>
      <c r="G704" t="inlineStr">
        <is>
          <t>Colliers</t>
        </is>
      </c>
      <c r="H704">
        <f>HYPERLINK("https://app.apollo.io/#/accounts/64aaf6c63d556a0001e8eda6")</f>
        <v/>
      </c>
      <c r="I704">
        <f>HYPERLINK("http://www.colliers.com/")</f>
        <v/>
      </c>
      <c r="J704">
        <f>HYPERLINK("http://www.linkedin.com/company/colliers")</f>
        <v/>
      </c>
      <c r="K704">
        <f>HYPERLINK("https://twitter.com/Colliers")</f>
        <v/>
      </c>
      <c r="L704">
        <f>HYPERLINK("https://facebook.com/colliersinternational/")</f>
        <v/>
      </c>
      <c r="M704" t="inlineStr">
        <is>
          <t>London, United Kingdom</t>
        </is>
      </c>
      <c r="N704" t="inlineStr">
        <is>
          <t>25,000</t>
        </is>
      </c>
      <c r="O704" t="inlineStr">
        <is>
          <t>Commercial Real Estate</t>
        </is>
      </c>
      <c r="P704" t="inlineStr">
        <is>
          <t>brokerage &amp; agency,corporate solutions</t>
        </is>
      </c>
      <c r="Q704" t="inlineStr">
        <is>
          <t>Not Found</t>
        </is>
      </c>
    </row>
    <row r="705">
      <c r="A705" t="inlineStr">
        <is>
          <t>64595c720e3cac0001e78045</t>
        </is>
      </c>
      <c r="B705" t="inlineStr">
        <is>
          <t>Isa Naeem</t>
        </is>
      </c>
      <c r="C705">
        <f>HYPERLINK("http://www.linkedin.com/in/isa-naeem-b64a9738")</f>
        <v/>
      </c>
      <c r="D705" t="inlineStr">
        <is>
          <t>Not Found</t>
        </is>
      </c>
      <c r="E705" t="inlineStr">
        <is>
          <t>Associate Director</t>
        </is>
      </c>
      <c r="F705">
        <f>HYPERLINK("https://app.apollo.io/#/people/64595c720e3cac0001e78045")</f>
        <v/>
      </c>
      <c r="G705" t="inlineStr">
        <is>
          <t>Colliers</t>
        </is>
      </c>
      <c r="H705">
        <f>HYPERLINK("https://app.apollo.io/#/accounts/64aaf6c63d556a0001e8eda6")</f>
        <v/>
      </c>
      <c r="I705">
        <f>HYPERLINK("http://www.colliers.com/")</f>
        <v/>
      </c>
      <c r="J705">
        <f>HYPERLINK("http://www.linkedin.com/company/colliers")</f>
        <v/>
      </c>
      <c r="K705">
        <f>HYPERLINK("https://twitter.com/Colliers")</f>
        <v/>
      </c>
      <c r="L705">
        <f>HYPERLINK("https://facebook.com/colliersinternational/")</f>
        <v/>
      </c>
      <c r="M705" t="inlineStr">
        <is>
          <t>Windsor, United Kingdom</t>
        </is>
      </c>
      <c r="N705" t="inlineStr">
        <is>
          <t>25,000</t>
        </is>
      </c>
      <c r="O705" t="inlineStr">
        <is>
          <t>Commercial Real Estate</t>
        </is>
      </c>
      <c r="P705" t="inlineStr">
        <is>
          <t>brokerage &amp; agency,corporate solutions</t>
        </is>
      </c>
      <c r="Q705" t="inlineStr">
        <is>
          <t>Not Found</t>
        </is>
      </c>
    </row>
    <row r="706">
      <c r="A706" t="inlineStr">
        <is>
          <t>54c16a1c7468697af701770a</t>
        </is>
      </c>
      <c r="B706" t="inlineStr">
        <is>
          <t>Jon Bartholomew</t>
        </is>
      </c>
      <c r="C706">
        <f>HYPERLINK("http://www.linkedin.com/in/jon-bartholomew-3768489b")</f>
        <v/>
      </c>
      <c r="D706" t="inlineStr">
        <is>
          <t>Not Found</t>
        </is>
      </c>
      <c r="E706" t="inlineStr">
        <is>
          <t>Account Director</t>
        </is>
      </c>
      <c r="F706">
        <f>HYPERLINK("https://app.apollo.io/#/people/54c16a1c7468697af701770a")</f>
        <v/>
      </c>
      <c r="G706" t="inlineStr">
        <is>
          <t>CBRE Global Workplace Solutions (GWS)</t>
        </is>
      </c>
      <c r="H706">
        <f>HYPERLINK("https://app.apollo.io/#/accounts/6509fed6f449800001b69a15")</f>
        <v/>
      </c>
      <c r="I706">
        <f>HYPERLINK("http://www.coor.com/")</f>
        <v/>
      </c>
      <c r="J706">
        <f>HYPERLINK("http://www.linkedin.com/company/cbre-gws")</f>
        <v/>
      </c>
      <c r="K706">
        <f>HYPERLINK("Not Found")</f>
        <v/>
      </c>
      <c r="L706">
        <f>HYPERLINK("Not Found")</f>
        <v/>
      </c>
      <c r="M706" t="inlineStr">
        <is>
          <t>London, United Kingdom</t>
        </is>
      </c>
      <c r="N706" t="inlineStr">
        <is>
          <t>15,000</t>
        </is>
      </c>
      <c r="O706" t="inlineStr">
        <is>
          <t>Commercial Real Estate</t>
        </is>
      </c>
      <c r="P706" t="inlineStr">
        <is>
          <t>project management,advisory,transaction services</t>
        </is>
      </c>
      <c r="Q706" t="inlineStr">
        <is>
          <t>Not Found</t>
        </is>
      </c>
    </row>
    <row r="707">
      <c r="A707" t="inlineStr">
        <is>
          <t>5e810fe4ce98190001d10109</t>
        </is>
      </c>
      <c r="B707" t="inlineStr">
        <is>
          <t>Grace Bergin</t>
        </is>
      </c>
      <c r="C707">
        <f>HYPERLINK("http://www.linkedin.com/in/grace-bergin-mrics-50a047113")</f>
        <v/>
      </c>
      <c r="D707" t="inlineStr">
        <is>
          <t>Not Found</t>
        </is>
      </c>
      <c r="E707" t="inlineStr">
        <is>
          <t>Associate Director</t>
        </is>
      </c>
      <c r="F707">
        <f>HYPERLINK("https://app.apollo.io/#/people/5e810fe4ce98190001d10109")</f>
        <v/>
      </c>
      <c r="G707" t="inlineStr">
        <is>
          <t>Colliers</t>
        </is>
      </c>
      <c r="H707">
        <f>HYPERLINK("https://app.apollo.io/#/accounts/64aaf6c63d556a0001e8eda6")</f>
        <v/>
      </c>
      <c r="I707">
        <f>HYPERLINK("http://www.colliers.com/")</f>
        <v/>
      </c>
      <c r="J707">
        <f>HYPERLINK("http://www.linkedin.com/company/colliers")</f>
        <v/>
      </c>
      <c r="K707">
        <f>HYPERLINK("https://twitter.com/Colliers")</f>
        <v/>
      </c>
      <c r="L707">
        <f>HYPERLINK("https://facebook.com/colliersinternational/")</f>
        <v/>
      </c>
      <c r="M707" t="inlineStr">
        <is>
          <t>London, United Kingdom</t>
        </is>
      </c>
      <c r="N707" t="inlineStr">
        <is>
          <t>25,000</t>
        </is>
      </c>
      <c r="O707" t="inlineStr">
        <is>
          <t>Commercial Real Estate</t>
        </is>
      </c>
      <c r="P707" t="inlineStr">
        <is>
          <t>brokerage &amp; agency,corporate solutions</t>
        </is>
      </c>
      <c r="Q707" t="inlineStr">
        <is>
          <t>Not Found</t>
        </is>
      </c>
    </row>
    <row r="708">
      <c r="A708" t="inlineStr">
        <is>
          <t>60a04677991ab00001a97f3a</t>
        </is>
      </c>
      <c r="B708" t="inlineStr">
        <is>
          <t>Kate Howe</t>
        </is>
      </c>
      <c r="C708">
        <f>HYPERLINK("http://www.linkedin.com/in/kate-howe-3b9b271b")</f>
        <v/>
      </c>
      <c r="D708" t="inlineStr">
        <is>
          <t>Not Found</t>
        </is>
      </c>
      <c r="E708" t="inlineStr">
        <is>
          <t>Development Director</t>
        </is>
      </c>
      <c r="F708">
        <f>HYPERLINK("https://app.apollo.io/#/people/60a04677991ab00001a97f3a")</f>
        <v/>
      </c>
      <c r="G708" t="inlineStr">
        <is>
          <t>Tritax Symmetry</t>
        </is>
      </c>
      <c r="H708">
        <f>HYPERLINK("https://app.apollo.io/#/organizations/5a9ccacea6da98d96d7ec351")</f>
        <v/>
      </c>
      <c r="I708">
        <f>HYPERLINK("http://www.tritaxsymmetry.com/")</f>
        <v/>
      </c>
      <c r="J708">
        <f>HYPERLINK("http://www.linkedin.com/company/tritaxsymmetry")</f>
        <v/>
      </c>
      <c r="K708">
        <f>HYPERLINK("https://twitter.com/tritaxsymmetry")</f>
        <v/>
      </c>
      <c r="L708">
        <f>HYPERLINK("Not Found")</f>
        <v/>
      </c>
      <c r="M708" t="inlineStr">
        <is>
          <t>Manchester, United Kingdom</t>
        </is>
      </c>
      <c r="N708" t="inlineStr">
        <is>
          <t>40</t>
        </is>
      </c>
      <c r="O708" t="inlineStr">
        <is>
          <t>Commercial Real Estate</t>
        </is>
      </c>
      <c r="P708" t="inlineStr">
        <is>
          <t>industrial warehouse units,bespoke buildings</t>
        </is>
      </c>
      <c r="Q708" t="inlineStr">
        <is>
          <t>Not Found</t>
        </is>
      </c>
    </row>
    <row r="709">
      <c r="A709" t="inlineStr">
        <is>
          <t>557143ac7369645899600200</t>
        </is>
      </c>
      <c r="B709" t="inlineStr">
        <is>
          <t>Phil Adlard</t>
        </is>
      </c>
      <c r="C709">
        <f>HYPERLINK("http://www.linkedin.com/in/phil-adlard-6728195")</f>
        <v/>
      </c>
      <c r="D709" t="inlineStr">
        <is>
          <t>Not Found</t>
        </is>
      </c>
      <c r="E709" t="inlineStr">
        <is>
          <t>Associate Director</t>
        </is>
      </c>
      <c r="F709">
        <f>HYPERLINK("https://app.apollo.io/#/people/557143ac7369645899600200")</f>
        <v/>
      </c>
      <c r="G709" t="inlineStr">
        <is>
          <t>Colliers</t>
        </is>
      </c>
      <c r="H709">
        <f>HYPERLINK("https://app.apollo.io/#/accounts/64aaf6c63d556a0001e8eda6")</f>
        <v/>
      </c>
      <c r="I709">
        <f>HYPERLINK("http://www.colliers.com/")</f>
        <v/>
      </c>
      <c r="J709">
        <f>HYPERLINK("http://www.linkedin.com/company/colliers")</f>
        <v/>
      </c>
      <c r="K709">
        <f>HYPERLINK("https://twitter.com/Colliers")</f>
        <v/>
      </c>
      <c r="L709">
        <f>HYPERLINK("https://facebook.com/colliersinternational/")</f>
        <v/>
      </c>
      <c r="M709" t="inlineStr">
        <is>
          <t>Hemel Hempstead, United Kingdom</t>
        </is>
      </c>
      <c r="N709" t="inlineStr">
        <is>
          <t>25,000</t>
        </is>
      </c>
      <c r="O709" t="inlineStr">
        <is>
          <t>Commercial Real Estate</t>
        </is>
      </c>
      <c r="P709" t="inlineStr">
        <is>
          <t>brokerage &amp; agency,corporate solutions</t>
        </is>
      </c>
      <c r="Q709" t="inlineStr">
        <is>
          <t>Not Found</t>
        </is>
      </c>
    </row>
    <row r="710">
      <c r="A710" t="inlineStr">
        <is>
          <t>6116c803b679d30001e0fb9f</t>
        </is>
      </c>
      <c r="B710" t="inlineStr">
        <is>
          <t>Paul Beddows</t>
        </is>
      </c>
      <c r="C710">
        <f>HYPERLINK("http://www.linkedin.com/in/paul-beddows-aa165a4")</f>
        <v/>
      </c>
      <c r="D710" t="inlineStr">
        <is>
          <t>Not Found</t>
        </is>
      </c>
      <c r="E710" t="inlineStr">
        <is>
          <t>Sales Director</t>
        </is>
      </c>
      <c r="F710">
        <f>HYPERLINK("https://app.apollo.io/#/people/6116c803b679d30001e0fb9f")</f>
        <v/>
      </c>
      <c r="G710" t="inlineStr">
        <is>
          <t>Dawsongroup</t>
        </is>
      </c>
      <c r="H710">
        <f>HYPERLINK("https://app.apollo.io/#/accounts/6578bdff73d31601aeef274e")</f>
        <v/>
      </c>
      <c r="I710">
        <f>HYPERLINK("http://www.dawsongroup.co.uk/")</f>
        <v/>
      </c>
      <c r="J710">
        <f>HYPERLINK("http://www.linkedin.com/company/dawsongroup-plc")</f>
        <v/>
      </c>
      <c r="K710">
        <f>HYPERLINK("https://twitter.com/dawsongroupplc")</f>
        <v/>
      </c>
      <c r="L710">
        <f>HYPERLINK("Not Found")</f>
        <v/>
      </c>
      <c r="M710" t="inlineStr">
        <is>
          <t>Manchester, United Kingdom</t>
        </is>
      </c>
      <c r="N710" t="inlineStr">
        <is>
          <t>390</t>
        </is>
      </c>
      <c r="O710" t="inlineStr">
        <is>
          <t>Commercial Real Estate</t>
        </is>
      </c>
      <c r="P710" t="inlineStr">
        <is>
          <t>asset management,rental</t>
        </is>
      </c>
      <c r="Q710" t="inlineStr">
        <is>
          <t>Not Found</t>
        </is>
      </c>
    </row>
    <row r="711">
      <c r="A711" t="inlineStr">
        <is>
          <t>60da05822a72ca0001040229</t>
        </is>
      </c>
      <c r="B711" t="inlineStr">
        <is>
          <t>Ben Haldin</t>
        </is>
      </c>
      <c r="C711">
        <f>HYPERLINK("http://www.linkedin.com/in/ben-haldin-5129a3")</f>
        <v/>
      </c>
      <c r="D711" t="inlineStr">
        <is>
          <t>Not Found</t>
        </is>
      </c>
      <c r="E711" t="inlineStr">
        <is>
          <t>Managing Director</t>
        </is>
      </c>
      <c r="F711">
        <f>HYPERLINK("https://app.apollo.io/#/people/60da05822a72ca0001040229")</f>
        <v/>
      </c>
      <c r="G711" t="inlineStr">
        <is>
          <t>Fulcro</t>
        </is>
      </c>
      <c r="H711">
        <f>HYPERLINK("https://app.apollo.io/#/organizations/54a121b569702d86b614b202")</f>
        <v/>
      </c>
      <c r="I711">
        <f>HYPERLINK("http://www.fulcro.co.uk/")</f>
        <v/>
      </c>
      <c r="J711">
        <f>HYPERLINK("http://www.linkedin.com/company/fulcro-engineering-services-ltd")</f>
        <v/>
      </c>
      <c r="K711">
        <f>HYPERLINK("https://twitter.com/FulcroEng")</f>
        <v/>
      </c>
      <c r="L711">
        <f>HYPERLINK("Not Found")</f>
        <v/>
      </c>
      <c r="M711" t="inlineStr">
        <is>
          <t>United Kingdom</t>
        </is>
      </c>
      <c r="N711" t="inlineStr">
        <is>
          <t>37</t>
        </is>
      </c>
      <c r="O711" t="inlineStr">
        <is>
          <t>Commercial Real Estate</t>
        </is>
      </c>
      <c r="P711" t="inlineStr">
        <is>
          <t>construction detailing,integrated project delivery</t>
        </is>
      </c>
      <c r="Q711" t="inlineStr">
        <is>
          <t>Not Found</t>
        </is>
      </c>
    </row>
    <row r="712">
      <c r="A712" t="inlineStr">
        <is>
          <t>60d2d106ac1f580001eb70b1</t>
        </is>
      </c>
      <c r="B712" t="inlineStr">
        <is>
          <t>Kim Stringer</t>
        </is>
      </c>
      <c r="C712">
        <f>HYPERLINK("http://www.linkedin.com/in/kimstringer")</f>
        <v/>
      </c>
      <c r="D712" t="inlineStr">
        <is>
          <t>Not Found</t>
        </is>
      </c>
      <c r="E712" t="inlineStr">
        <is>
          <t>People Director</t>
        </is>
      </c>
      <c r="F712">
        <f>HYPERLINK("https://app.apollo.io/#/people/60d2d106ac1f580001eb70b1")</f>
        <v/>
      </c>
      <c r="G712" t="inlineStr">
        <is>
          <t>Techspace</t>
        </is>
      </c>
      <c r="H712">
        <f>HYPERLINK("https://app.apollo.io/#/accounts/6578bc3df8c62e01aef7c2bf")</f>
        <v/>
      </c>
      <c r="I712">
        <f>HYPERLINK("http://www.techspace.co/")</f>
        <v/>
      </c>
      <c r="J712">
        <f>HYPERLINK("http://www.linkedin.com/company/techspace-co")</f>
        <v/>
      </c>
      <c r="K712">
        <f>HYPERLINK("https://twitter.com/techspaceco")</f>
        <v/>
      </c>
      <c r="L712">
        <f>HYPERLINK("http://www.facebook.com/techspaceco")</f>
        <v/>
      </c>
      <c r="M712" t="inlineStr">
        <is>
          <t>London, United Kingdom</t>
        </is>
      </c>
      <c r="N712" t="inlineStr">
        <is>
          <t>56</t>
        </is>
      </c>
      <c r="O712" t="inlineStr">
        <is>
          <t>Commercial Real Estate</t>
        </is>
      </c>
      <c r="P712" t="inlineStr">
        <is>
          <t>startups,real estate,coworking,office space</t>
        </is>
      </c>
      <c r="Q712" t="inlineStr">
        <is>
          <t>Not Found</t>
        </is>
      </c>
    </row>
    <row r="713">
      <c r="A713" t="inlineStr">
        <is>
          <t>57d7abf3a6da9809ee469926</t>
        </is>
      </c>
      <c r="B713" t="inlineStr">
        <is>
          <t>Charles Montgomery</t>
        </is>
      </c>
      <c r="C713">
        <f>HYPERLINK("http://www.linkedin.com/in/charles-montgomery-8a383a102")</f>
        <v/>
      </c>
      <c r="D713" t="inlineStr">
        <is>
          <t>Not Found</t>
        </is>
      </c>
      <c r="E713" t="inlineStr">
        <is>
          <t>Associate Director</t>
        </is>
      </c>
      <c r="F713">
        <f>HYPERLINK("https://app.apollo.io/#/people/57d7abf3a6da9809ee469926")</f>
        <v/>
      </c>
      <c r="G713" t="inlineStr">
        <is>
          <t>Colliers</t>
        </is>
      </c>
      <c r="H713">
        <f>HYPERLINK("https://app.apollo.io/#/accounts/64aaf6c63d556a0001e8eda6")</f>
        <v/>
      </c>
      <c r="I713">
        <f>HYPERLINK("http://www.colliers.com/")</f>
        <v/>
      </c>
      <c r="J713">
        <f>HYPERLINK("http://www.linkedin.com/company/colliers")</f>
        <v/>
      </c>
      <c r="K713">
        <f>HYPERLINK("https://twitter.com/Colliers")</f>
        <v/>
      </c>
      <c r="L713">
        <f>HYPERLINK("https://facebook.com/colliersinternational/")</f>
        <v/>
      </c>
      <c r="M713" t="inlineStr">
        <is>
          <t>Hurst, United Kingdom</t>
        </is>
      </c>
      <c r="N713" t="inlineStr">
        <is>
          <t>25,000</t>
        </is>
      </c>
      <c r="O713" t="inlineStr">
        <is>
          <t>Commercial Real Estate</t>
        </is>
      </c>
      <c r="P713" t="inlineStr">
        <is>
          <t>brokerage &amp; agency,corporate solutions,investment services</t>
        </is>
      </c>
      <c r="Q713" t="inlineStr">
        <is>
          <t>Not Found</t>
        </is>
      </c>
    </row>
    <row r="714">
      <c r="A714" t="inlineStr">
        <is>
          <t>5b6468bcf874f74e0554c356</t>
        </is>
      </c>
      <c r="B714" t="inlineStr">
        <is>
          <t>Alex Hydes</t>
        </is>
      </c>
      <c r="C714">
        <f>HYPERLINK("http://www.linkedin.com/in/alexhydes")</f>
        <v/>
      </c>
      <c r="D714" t="inlineStr">
        <is>
          <t>Not Found</t>
        </is>
      </c>
      <c r="E714" t="inlineStr">
        <is>
          <t>Services Director</t>
        </is>
      </c>
      <c r="F714">
        <f>HYPERLINK("https://app.apollo.io/#/people/5b6468bcf874f74e0554c356")</f>
        <v/>
      </c>
      <c r="G714" t="inlineStr">
        <is>
          <t>HFD Group</t>
        </is>
      </c>
      <c r="H714">
        <f>HYPERLINK("https://app.apollo.io/#/accounts/6578be5cccf69c02cc54ee0c")</f>
        <v/>
      </c>
      <c r="I714">
        <f>HYPERLINK("http://www.hfdgroup.com/")</f>
        <v/>
      </c>
      <c r="J714">
        <f>HYPERLINK("http://www.linkedin.com/company/hfd-group")</f>
        <v/>
      </c>
      <c r="K714">
        <f>HYPERLINK("Not Found")</f>
        <v/>
      </c>
      <c r="L714">
        <f>HYPERLINK("Not Found")</f>
        <v/>
      </c>
      <c r="M714" t="inlineStr">
        <is>
          <t>Paisley, United Kingdom</t>
        </is>
      </c>
      <c r="N714" t="inlineStr">
        <is>
          <t>55</t>
        </is>
      </c>
      <c r="O714" t="inlineStr">
        <is>
          <t>Commercial Real Estate</t>
        </is>
      </c>
      <c r="P714" t="inlineStr">
        <is>
          <t>commercial property investment,commercial property development</t>
        </is>
      </c>
      <c r="Q714" t="inlineStr">
        <is>
          <t>Not Found</t>
        </is>
      </c>
    </row>
    <row r="715">
      <c r="A715" t="inlineStr">
        <is>
          <t>54a94bb174686930ad7d0110</t>
        </is>
      </c>
      <c r="B715" t="inlineStr">
        <is>
          <t>Gary Roche</t>
        </is>
      </c>
      <c r="C715">
        <f>HYPERLINK("http://www.linkedin.com/in/gary-roche-88292811")</f>
        <v/>
      </c>
      <c r="D715" t="inlineStr">
        <is>
          <t>Not Found</t>
        </is>
      </c>
      <c r="E715" t="inlineStr">
        <is>
          <t>Associate Director</t>
        </is>
      </c>
      <c r="F715">
        <f>HYPERLINK("https://app.apollo.io/#/people/54a94bb174686930ad7d0110")</f>
        <v/>
      </c>
      <c r="G715" t="inlineStr">
        <is>
          <t>CBRE Global Workplace Solutions (GWS)</t>
        </is>
      </c>
      <c r="H715">
        <f>HYPERLINK("https://app.apollo.io/#/accounts/6509fed6f449800001b69a15")</f>
        <v/>
      </c>
      <c r="I715">
        <f>HYPERLINK("http://www.coor.com/")</f>
        <v/>
      </c>
      <c r="J715">
        <f>HYPERLINK("http://www.linkedin.com/company/cbre-gws")</f>
        <v/>
      </c>
      <c r="K715">
        <f>HYPERLINK("Not Found")</f>
        <v/>
      </c>
      <c r="L715">
        <f>HYPERLINK("Not Found")</f>
        <v/>
      </c>
      <c r="M715" t="inlineStr">
        <is>
          <t>London, United Kingdom</t>
        </is>
      </c>
      <c r="N715" t="inlineStr">
        <is>
          <t>15,000</t>
        </is>
      </c>
      <c r="O715" t="inlineStr">
        <is>
          <t>Commercial Real Estate</t>
        </is>
      </c>
      <c r="P715" t="inlineStr">
        <is>
          <t>project management,advisory,transaction services</t>
        </is>
      </c>
      <c r="Q715" t="inlineStr">
        <is>
          <t>Not Found</t>
        </is>
      </c>
    </row>
    <row r="716">
      <c r="A716" t="inlineStr">
        <is>
          <t>60bf443f54fb7a000124d6dd</t>
        </is>
      </c>
      <c r="B716" t="inlineStr">
        <is>
          <t>Damian Horridge</t>
        </is>
      </c>
      <c r="C716">
        <f>HYPERLINK("http://www.linkedin.com/in/damian-horridge-6899a31a")</f>
        <v/>
      </c>
      <c r="D716" t="inlineStr">
        <is>
          <t>Not Found</t>
        </is>
      </c>
      <c r="E716" t="inlineStr">
        <is>
          <t>Managing Director</t>
        </is>
      </c>
      <c r="F716">
        <f>HYPERLINK("https://app.apollo.io/#/people/60bf443f54fb7a000124d6dd")</f>
        <v/>
      </c>
      <c r="G716" t="inlineStr">
        <is>
          <t>C4 Projects Limited</t>
        </is>
      </c>
      <c r="H716">
        <f>HYPERLINK("https://app.apollo.io/#/organizations/5569c1f27369642529868c00")</f>
        <v/>
      </c>
      <c r="I716">
        <f>HYPERLINK("Not Found")</f>
        <v/>
      </c>
      <c r="J716">
        <f>HYPERLINK("http://www.linkedin.com/company/c4-consulting-limited")</f>
        <v/>
      </c>
      <c r="K716">
        <f>HYPERLINK("Not Found")</f>
        <v/>
      </c>
      <c r="L716">
        <f>HYPERLINK("Not Found")</f>
        <v/>
      </c>
      <c r="M716" t="inlineStr">
        <is>
          <t>Warrington, United Kingdom</t>
        </is>
      </c>
      <c r="N716" t="inlineStr">
        <is>
          <t>40</t>
        </is>
      </c>
      <c r="O716" t="inlineStr">
        <is>
          <t>Commercial Real Estate</t>
        </is>
      </c>
      <c r="P716" t="inlineStr">
        <is>
          <t>building surveying,architecture,cost consultancy</t>
        </is>
      </c>
      <c r="Q716" t="inlineStr">
        <is>
          <t>Not Found</t>
        </is>
      </c>
    </row>
    <row r="717">
      <c r="A717" t="inlineStr">
        <is>
          <t>5d4d156ea3ae611c22977db6</t>
        </is>
      </c>
      <c r="B717" t="inlineStr">
        <is>
          <t>Joanne Hardwicke</t>
        </is>
      </c>
      <c r="C717">
        <f>HYPERLINK("http://www.linkedin.com/in/joanne-hardwicke-5837bb57")</f>
        <v/>
      </c>
      <c r="D717" t="inlineStr">
        <is>
          <t>Not Found</t>
        </is>
      </c>
      <c r="E717" t="inlineStr">
        <is>
          <t>Associate Director</t>
        </is>
      </c>
      <c r="F717">
        <f>HYPERLINK("https://app.apollo.io/#/people/5d4d156ea3ae611c22977db6")</f>
        <v/>
      </c>
      <c r="G717" t="inlineStr">
        <is>
          <t>EDGE</t>
        </is>
      </c>
      <c r="H717">
        <f>HYPERLINK("https://app.apollo.io/#/accounts/6578c3ae48f92e03e9979f91")</f>
        <v/>
      </c>
      <c r="I717">
        <f>HYPERLINK("http://www.edge.tech/")</f>
        <v/>
      </c>
      <c r="J717">
        <f>HYPERLINK("http://www.linkedin.com/company/edge-real-tech")</f>
        <v/>
      </c>
      <c r="K717">
        <f>HYPERLINK("https://twitter.com/edgetech_")</f>
        <v/>
      </c>
      <c r="L717">
        <f>HYPERLINK("Not Found")</f>
        <v/>
      </c>
      <c r="M717" t="inlineStr">
        <is>
          <t>Nottingham, United Kingdom</t>
        </is>
      </c>
      <c r="N717" t="inlineStr">
        <is>
          <t>180</t>
        </is>
      </c>
      <c r="O717" t="inlineStr">
        <is>
          <t>Commercial Real Estate</t>
        </is>
      </c>
      <c r="P717" t="inlineStr">
        <is>
          <t>circular economy,building development,real estate</t>
        </is>
      </c>
      <c r="Q717" t="inlineStr">
        <is>
          <t>Not Found</t>
        </is>
      </c>
    </row>
    <row r="718">
      <c r="A718" t="inlineStr">
        <is>
          <t>60c6ac1103dbc70001301005</t>
        </is>
      </c>
      <c r="B718" t="inlineStr">
        <is>
          <t>Conor Walmsley</t>
        </is>
      </c>
      <c r="C718">
        <f>HYPERLINK("http://www.linkedin.com/in/conor-walmsley-a1809b195")</f>
        <v/>
      </c>
      <c r="D718" t="inlineStr">
        <is>
          <t>Not Found</t>
        </is>
      </c>
      <c r="E718" t="inlineStr">
        <is>
          <t>Associate Director</t>
        </is>
      </c>
      <c r="F718">
        <f>HYPERLINK("https://app.apollo.io/#/people/60c6ac1103dbc70001301005")</f>
        <v/>
      </c>
      <c r="G718" t="inlineStr">
        <is>
          <t>Colliers</t>
        </is>
      </c>
      <c r="H718">
        <f>HYPERLINK("https://app.apollo.io/#/accounts/64aaf6c63d556a0001e8eda6")</f>
        <v/>
      </c>
      <c r="I718">
        <f>HYPERLINK("http://www.colliers.com/")</f>
        <v/>
      </c>
      <c r="J718">
        <f>HYPERLINK("http://www.linkedin.com/company/colliers")</f>
        <v/>
      </c>
      <c r="K718">
        <f>HYPERLINK("https://twitter.com/Colliers")</f>
        <v/>
      </c>
      <c r="L718">
        <f>HYPERLINK("https://facebook.com/colliersinternational/")</f>
        <v/>
      </c>
      <c r="M718" t="inlineStr">
        <is>
          <t>Manchester, United Kingdom</t>
        </is>
      </c>
      <c r="N718" t="inlineStr">
        <is>
          <t>25,000</t>
        </is>
      </c>
      <c r="O718" t="inlineStr">
        <is>
          <t>Commercial Real Estate</t>
        </is>
      </c>
      <c r="P718" t="inlineStr">
        <is>
          <t>brokerage &amp; agency,corporate solutions</t>
        </is>
      </c>
      <c r="Q718" t="inlineStr">
        <is>
          <t>Not Found</t>
        </is>
      </c>
    </row>
    <row r="719">
      <c r="A719" t="inlineStr">
        <is>
          <t>601d43b2f43b2b00014ac597</t>
        </is>
      </c>
      <c r="B719" t="inlineStr">
        <is>
          <t>Spencer Lawrence</t>
        </is>
      </c>
      <c r="C719">
        <f>HYPERLINK("http://www.linkedin.com/in/spencerlawrence")</f>
        <v/>
      </c>
      <c r="D719" t="inlineStr">
        <is>
          <t>Not Found</t>
        </is>
      </c>
      <c r="E719" t="inlineStr">
        <is>
          <t>Lettings Director</t>
        </is>
      </c>
      <c r="F719">
        <f>HYPERLINK("https://app.apollo.io/#/people/601d43b2f43b2b00014ac597")</f>
        <v/>
      </c>
      <c r="G719" t="inlineStr">
        <is>
          <t>Paramount Properties</t>
        </is>
      </c>
      <c r="H719">
        <f>HYPERLINK("https://app.apollo.io/#/accounts/6578b8d685cede01ae5c47ae")</f>
        <v/>
      </c>
      <c r="I719">
        <f>HYPERLINK("http://www.paramount-properties.co.uk/")</f>
        <v/>
      </c>
      <c r="J719">
        <f>HYPERLINK("http://www.linkedin.com/company/paramount-group-of-companies")</f>
        <v/>
      </c>
      <c r="K719">
        <f>HYPERLINK("https://twitter.com/paramountldn")</f>
        <v/>
      </c>
      <c r="L719">
        <f>HYPERLINK("https://www.facebook.com/paramountpropertieslondon")</f>
        <v/>
      </c>
      <c r="M719" t="inlineStr">
        <is>
          <t>London, United Kingdom</t>
        </is>
      </c>
      <c r="N719" t="inlineStr">
        <is>
          <t>69</t>
        </is>
      </c>
      <c r="O719" t="inlineStr">
        <is>
          <t>Commercial Real Estate</t>
        </is>
      </c>
      <c r="P719" t="inlineStr">
        <is>
          <t>residential lettings,investment properties</t>
        </is>
      </c>
      <c r="Q719" t="inlineStr">
        <is>
          <t>Not Found</t>
        </is>
      </c>
    </row>
    <row r="720">
      <c r="A720" t="inlineStr">
        <is>
          <t>54a2997c746869331832a52e</t>
        </is>
      </c>
      <c r="B720" t="inlineStr">
        <is>
          <t>Peter Vass</t>
        </is>
      </c>
      <c r="C720">
        <f>HYPERLINK("http://www.linkedin.com/in/peter-vass-1a969945")</f>
        <v/>
      </c>
      <c r="D720" t="inlineStr">
        <is>
          <t>Not Found</t>
        </is>
      </c>
      <c r="E720" t="inlineStr">
        <is>
          <t>Associate Director</t>
        </is>
      </c>
      <c r="F720">
        <f>HYPERLINK("https://app.apollo.io/#/people/54a2997c746869331832a52e")</f>
        <v/>
      </c>
      <c r="G720" t="inlineStr">
        <is>
          <t>Colliers</t>
        </is>
      </c>
      <c r="H720">
        <f>HYPERLINK("https://app.apollo.io/#/accounts/64aaf6c63d556a0001e8eda6")</f>
        <v/>
      </c>
      <c r="I720">
        <f>HYPERLINK("http://www.colliers.com/")</f>
        <v/>
      </c>
      <c r="J720">
        <f>HYPERLINK("http://www.linkedin.com/company/colliers")</f>
        <v/>
      </c>
      <c r="K720">
        <f>HYPERLINK("https://twitter.com/Colliers")</f>
        <v/>
      </c>
      <c r="L720">
        <f>HYPERLINK("https://facebook.com/colliersinternational/")</f>
        <v/>
      </c>
      <c r="M720" t="inlineStr">
        <is>
          <t>Birmingham, United Kingdom</t>
        </is>
      </c>
      <c r="N720" t="inlineStr">
        <is>
          <t>25,000</t>
        </is>
      </c>
      <c r="O720" t="inlineStr">
        <is>
          <t>Commercial Real Estate</t>
        </is>
      </c>
      <c r="P720" t="inlineStr">
        <is>
          <t>brokerage &amp; agency,corporate solutions</t>
        </is>
      </c>
      <c r="Q720" t="inlineStr">
        <is>
          <t>Not Found</t>
        </is>
      </c>
    </row>
    <row r="721">
      <c r="A721" t="inlineStr">
        <is>
          <t>54aa8c1c74686906303f950a</t>
        </is>
      </c>
      <c r="B721" t="inlineStr">
        <is>
          <t>Stephen Gallaghan</t>
        </is>
      </c>
      <c r="C721">
        <f>HYPERLINK("http://www.linkedin.com/in/stephen-gallaghan-8a611a32")</f>
        <v/>
      </c>
      <c r="D721" t="inlineStr">
        <is>
          <t>Not Found</t>
        </is>
      </c>
      <c r="E721" t="inlineStr">
        <is>
          <t>Associate Director</t>
        </is>
      </c>
      <c r="F721">
        <f>HYPERLINK("https://app.apollo.io/#/people/54aa8c1c74686906303f950a")</f>
        <v/>
      </c>
      <c r="G721" t="inlineStr">
        <is>
          <t>Setbray Properties Limited</t>
        </is>
      </c>
      <c r="H721">
        <f>HYPERLINK("https://app.apollo.io/#/organizations/5592208b73696424de9a4d00")</f>
        <v/>
      </c>
      <c r="I721">
        <f>HYPERLINK("Not Found")</f>
        <v/>
      </c>
      <c r="J721">
        <f>HYPERLINK("http://www.linkedin.com/company/setbray-properties-limited")</f>
        <v/>
      </c>
      <c r="K721">
        <f>HYPERLINK("Not Found")</f>
        <v/>
      </c>
      <c r="L721">
        <f>HYPERLINK("Not Found")</f>
        <v/>
      </c>
      <c r="M721" t="inlineStr">
        <is>
          <t>Hebden Bridge, United Kingdom</t>
        </is>
      </c>
      <c r="N721" t="inlineStr">
        <is>
          <t>2</t>
        </is>
      </c>
      <c r="O721" t="inlineStr">
        <is>
          <t>Commercial Real Estate</t>
        </is>
      </c>
      <c r="Q721" t="inlineStr">
        <is>
          <t>Not Found</t>
        </is>
      </c>
    </row>
    <row r="722">
      <c r="A722" t="inlineStr">
        <is>
          <t>631dcfb1c06f180001e4ab91</t>
        </is>
      </c>
      <c r="B722" t="inlineStr">
        <is>
          <t>Paul Redden</t>
        </is>
      </c>
      <c r="C722">
        <f>HYPERLINK("http://www.linkedin.com/in/paul-redden-84bb34232")</f>
        <v/>
      </c>
      <c r="D722" t="inlineStr">
        <is>
          <t>Not Found</t>
        </is>
      </c>
      <c r="E722" t="inlineStr">
        <is>
          <t>Centre Director</t>
        </is>
      </c>
      <c r="F722">
        <f>HYPERLINK("https://app.apollo.io/#/people/631dcfb1c06f180001e4ab91")</f>
        <v/>
      </c>
      <c r="G722" t="inlineStr">
        <is>
          <t>Landsec</t>
        </is>
      </c>
      <c r="H722">
        <f>HYPERLINK("https://app.apollo.io/#/accounts/6578b86a75dc3a02ccc995c8")</f>
        <v/>
      </c>
      <c r="I722">
        <f>HYPERLINK("http://www.landsec.com/")</f>
        <v/>
      </c>
      <c r="J722">
        <f>HYPERLINK("http://www.linkedin.com/company/landsec")</f>
        <v/>
      </c>
      <c r="K722">
        <f>HYPERLINK("https://twitter.com/landsecgroup?lang=en")</f>
        <v/>
      </c>
      <c r="L722">
        <f>HYPERLINK("https://facebook.com/pages/category/Real-Estate-Company/Landsec-Group-335042077050643/")</f>
        <v/>
      </c>
      <c r="M722" t="inlineStr">
        <is>
          <t>England, United Kingdom</t>
        </is>
      </c>
      <c r="N722" t="inlineStr">
        <is>
          <t>860</t>
        </is>
      </c>
      <c r="O722" t="inlineStr">
        <is>
          <t>Commercial Real Estate</t>
        </is>
      </c>
      <c r="P722" t="inlineStr">
        <is>
          <t>property investment,management &amp; development</t>
        </is>
      </c>
      <c r="Q722" t="inlineStr">
        <is>
          <t>Not Found</t>
        </is>
      </c>
    </row>
    <row r="723">
      <c r="A723" t="inlineStr">
        <is>
          <t>5ad77a08a6da98e3d6211788</t>
        </is>
      </c>
      <c r="B723" t="inlineStr">
        <is>
          <t>Michael Rutherford</t>
        </is>
      </c>
      <c r="C723">
        <f>HYPERLINK("http://www.linkedin.com/in/michael-rutherford-94308747")</f>
        <v/>
      </c>
      <c r="D723" t="inlineStr">
        <is>
          <t>Not Found</t>
        </is>
      </c>
      <c r="E723" t="inlineStr">
        <is>
          <t>Operations Director</t>
        </is>
      </c>
      <c r="F723">
        <f>HYPERLINK("https://app.apollo.io/#/people/5ad77a08a6da98e3d6211788")</f>
        <v/>
      </c>
      <c r="G723" t="inlineStr">
        <is>
          <t>Robertson Group</t>
        </is>
      </c>
      <c r="H723">
        <f>HYPERLINK("https://app.apollo.io/#/organizations/54a120e469702d97c110ad02")</f>
        <v/>
      </c>
      <c r="I723">
        <f>HYPERLINK("http://www.robertson.hu/")</f>
        <v/>
      </c>
      <c r="J723">
        <f>HYPERLINK("http://www.linkedin.com/company/robertsongroup")</f>
        <v/>
      </c>
      <c r="K723">
        <f>HYPERLINK("Not Found")</f>
        <v/>
      </c>
      <c r="L723">
        <f>HYPERLINK("https://www.facebook.com/RobertsonIGroup/")</f>
        <v/>
      </c>
      <c r="M723" t="inlineStr">
        <is>
          <t>England, United Kingdom</t>
        </is>
      </c>
      <c r="N723" t="inlineStr">
        <is>
          <t>50</t>
        </is>
      </c>
      <c r="O723" t="inlineStr">
        <is>
          <t>Commercial Real Estate</t>
        </is>
      </c>
      <c r="P723" t="inlineStr">
        <is>
          <t>landlord representation,office properties</t>
        </is>
      </c>
      <c r="Q723" t="inlineStr">
        <is>
          <t>Not Found</t>
        </is>
      </c>
    </row>
    <row r="724">
      <c r="A724" t="inlineStr">
        <is>
          <t>5ef7d79542ad5800016b0b4d</t>
        </is>
      </c>
      <c r="B724" t="inlineStr">
        <is>
          <t>James Cheeseman</t>
        </is>
      </c>
      <c r="C724">
        <f>HYPERLINK("http://www.linkedin.com/in/james-cheeseman-87a61015a")</f>
        <v/>
      </c>
      <c r="D724" t="inlineStr">
        <is>
          <t>Not Found</t>
        </is>
      </c>
      <c r="E724" t="inlineStr">
        <is>
          <t>Associate Director</t>
        </is>
      </c>
      <c r="F724">
        <f>HYPERLINK("https://app.apollo.io/#/people/5ef7d79542ad5800016b0b4d")</f>
        <v/>
      </c>
      <c r="G724" t="inlineStr">
        <is>
          <t>Colliers</t>
        </is>
      </c>
      <c r="H724">
        <f>HYPERLINK("https://app.apollo.io/#/accounts/64aaf6c63d556a0001e8eda6")</f>
        <v/>
      </c>
      <c r="I724">
        <f>HYPERLINK("http://www.colliers.com/")</f>
        <v/>
      </c>
      <c r="J724">
        <f>HYPERLINK("http://www.linkedin.com/company/colliers")</f>
        <v/>
      </c>
      <c r="K724">
        <f>HYPERLINK("https://twitter.com/Colliers")</f>
        <v/>
      </c>
      <c r="L724">
        <f>HYPERLINK("https://facebook.com/colliersinternational/")</f>
        <v/>
      </c>
      <c r="M724" t="inlineStr">
        <is>
          <t>London, United Kingdom</t>
        </is>
      </c>
      <c r="N724" t="inlineStr">
        <is>
          <t>25,000</t>
        </is>
      </c>
      <c r="O724" t="inlineStr">
        <is>
          <t>Commercial Real Estate</t>
        </is>
      </c>
      <c r="P724" t="inlineStr">
        <is>
          <t>brokerage &amp; agency,corporate solutions</t>
        </is>
      </c>
      <c r="Q724" t="inlineStr">
        <is>
          <t>Not Found</t>
        </is>
      </c>
    </row>
    <row r="725">
      <c r="A725" t="inlineStr">
        <is>
          <t>57d5a4f3a6da9853eea167c3</t>
        </is>
      </c>
      <c r="B725" t="inlineStr">
        <is>
          <t>Stephen Walton</t>
        </is>
      </c>
      <c r="C725">
        <f>HYPERLINK("http://www.linkedin.com/in/stephen-walton-44b50912")</f>
        <v/>
      </c>
      <c r="D725" t="inlineStr">
        <is>
          <t>Not Found</t>
        </is>
      </c>
      <c r="E725" t="inlineStr">
        <is>
          <t>Commercial Director</t>
        </is>
      </c>
      <c r="F725">
        <f>HYPERLINK("https://app.apollo.io/#/people/57d5a4f3a6da9853eea167c3")</f>
        <v/>
      </c>
      <c r="G725" t="inlineStr">
        <is>
          <t>CBRE Global Workplace Solutions (GWS)</t>
        </is>
      </c>
      <c r="H725">
        <f>HYPERLINK("https://app.apollo.io/#/accounts/6509fed6f449800001b69a15")</f>
        <v/>
      </c>
      <c r="I725">
        <f>HYPERLINK("http://www.coor.com/")</f>
        <v/>
      </c>
      <c r="J725">
        <f>HYPERLINK("http://www.linkedin.com/company/cbre-gws")</f>
        <v/>
      </c>
      <c r="K725">
        <f>HYPERLINK("Not Found")</f>
        <v/>
      </c>
      <c r="L725">
        <f>HYPERLINK("Not Found")</f>
        <v/>
      </c>
      <c r="M725" t="inlineStr">
        <is>
          <t>England, United Kingdom</t>
        </is>
      </c>
      <c r="N725" t="inlineStr">
        <is>
          <t>15,000</t>
        </is>
      </c>
      <c r="O725" t="inlineStr">
        <is>
          <t>Commercial Real Estate</t>
        </is>
      </c>
      <c r="P725" t="inlineStr">
        <is>
          <t>project management,advisory,transaction services</t>
        </is>
      </c>
      <c r="Q725" t="inlineStr">
        <is>
          <t>Not Found</t>
        </is>
      </c>
    </row>
    <row r="726">
      <c r="A726" t="inlineStr">
        <is>
          <t>5ae19dd0a6da984e0ccbf6af</t>
        </is>
      </c>
      <c r="B726" t="inlineStr">
        <is>
          <t>Emmanuel Mensah</t>
        </is>
      </c>
      <c r="C726">
        <f>HYPERLINK("http://www.linkedin.com/in/emmanuel-mensah-38b57411b")</f>
        <v/>
      </c>
      <c r="D726" t="inlineStr">
        <is>
          <t>Not Found</t>
        </is>
      </c>
      <c r="E726" t="inlineStr">
        <is>
          <t>Associate Director</t>
        </is>
      </c>
      <c r="F726">
        <f>HYPERLINK("https://app.apollo.io/#/people/5ae19dd0a6da984e0ccbf6af")</f>
        <v/>
      </c>
      <c r="G726" t="inlineStr">
        <is>
          <t>Colliers</t>
        </is>
      </c>
      <c r="H726">
        <f>HYPERLINK("https://app.apollo.io/#/accounts/64aaf6c63d556a0001e8eda6")</f>
        <v/>
      </c>
      <c r="I726">
        <f>HYPERLINK("http://www.colliers.com/")</f>
        <v/>
      </c>
      <c r="J726">
        <f>HYPERLINK("http://www.linkedin.com/company/colliers")</f>
        <v/>
      </c>
      <c r="K726">
        <f>HYPERLINK("https://twitter.com/Colliers")</f>
        <v/>
      </c>
      <c r="L726">
        <f>HYPERLINK("https://facebook.com/colliersinternational/")</f>
        <v/>
      </c>
      <c r="M726" t="inlineStr">
        <is>
          <t>London, United Kingdom</t>
        </is>
      </c>
      <c r="N726" t="inlineStr">
        <is>
          <t>25,000</t>
        </is>
      </c>
      <c r="O726" t="inlineStr">
        <is>
          <t>Commercial Real Estate</t>
        </is>
      </c>
      <c r="P726" t="inlineStr">
        <is>
          <t>brokerage &amp; agency,corporate solutions</t>
        </is>
      </c>
      <c r="Q726" t="inlineStr">
        <is>
          <t>Not Found</t>
        </is>
      </c>
    </row>
    <row r="727">
      <c r="A727" t="inlineStr">
        <is>
          <t>60fb986cc23a4100015e91c3</t>
        </is>
      </c>
      <c r="B727" t="inlineStr">
        <is>
          <t>Janet Kidner</t>
        </is>
      </c>
      <c r="C727">
        <f>HYPERLINK("http://www.linkedin.com/in/janet-kidner-05736423")</f>
        <v/>
      </c>
      <c r="D727" t="inlineStr">
        <is>
          <t>Not Found</t>
        </is>
      </c>
      <c r="E727" t="inlineStr">
        <is>
          <t>Development Director</t>
        </is>
      </c>
      <c r="F727">
        <f>HYPERLINK("https://app.apollo.io/#/people/60fb986cc23a4100015e91c3")</f>
        <v/>
      </c>
      <c r="G727" t="inlineStr">
        <is>
          <t>Landsec</t>
        </is>
      </c>
      <c r="H727">
        <f>HYPERLINK("https://app.apollo.io/#/accounts/6578b86a75dc3a02ccc995c8")</f>
        <v/>
      </c>
      <c r="I727">
        <f>HYPERLINK("http://www.landsec.com/")</f>
        <v/>
      </c>
      <c r="J727">
        <f>HYPERLINK("http://www.linkedin.com/company/landsec")</f>
        <v/>
      </c>
      <c r="K727">
        <f>HYPERLINK("https://twitter.com/landsecgroup?lang=en")</f>
        <v/>
      </c>
      <c r="L727">
        <f>HYPERLINK("https://facebook.com/pages/category/Real-Estate-Company/Landsec-Group-335042077050643/")</f>
        <v/>
      </c>
      <c r="M727" t="inlineStr">
        <is>
          <t>England, United Kingdom</t>
        </is>
      </c>
      <c r="N727" t="inlineStr">
        <is>
          <t>860</t>
        </is>
      </c>
      <c r="O727" t="inlineStr">
        <is>
          <t>Commercial Real Estate</t>
        </is>
      </c>
      <c r="P727" t="inlineStr">
        <is>
          <t>property investment,management &amp; development</t>
        </is>
      </c>
      <c r="Q727" t="inlineStr">
        <is>
          <t>Not Found</t>
        </is>
      </c>
    </row>
    <row r="728">
      <c r="A728" t="inlineStr">
        <is>
          <t>5f4cb28b45fe9f00018f7dab</t>
        </is>
      </c>
      <c r="B728" t="inlineStr">
        <is>
          <t>Mark Edwards</t>
        </is>
      </c>
      <c r="C728">
        <f>HYPERLINK("http://www.linkedin.com/in/mark-edwards-91a41b167")</f>
        <v/>
      </c>
      <c r="D728" t="inlineStr">
        <is>
          <t>Not Found</t>
        </is>
      </c>
      <c r="E728" t="inlineStr">
        <is>
          <t>Managing Director</t>
        </is>
      </c>
      <c r="F728">
        <f>HYPERLINK("https://app.apollo.io/#/people/5f4cb28b45fe9f00018f7dab")</f>
        <v/>
      </c>
      <c r="G728" t="inlineStr">
        <is>
          <t>AC Lloyd Commercial</t>
        </is>
      </c>
      <c r="H728">
        <f>HYPERLINK("https://app.apollo.io/#/organizations/5e57aa7de983c800017b8478")</f>
        <v/>
      </c>
      <c r="I728">
        <f>HYPERLINK("http://www.aclloyd.com/")</f>
        <v/>
      </c>
      <c r="J728">
        <f>HYPERLINK("http://www.linkedin.com/company/aclloydcommercial")</f>
        <v/>
      </c>
      <c r="K728">
        <f>HYPERLINK("Not Found")</f>
        <v/>
      </c>
      <c r="L728">
        <f>HYPERLINK("Not Found")</f>
        <v/>
      </c>
      <c r="M728" t="inlineStr">
        <is>
          <t>Coventry, United Kingdom</t>
        </is>
      </c>
      <c r="N728" t="inlineStr">
        <is>
          <t>50</t>
        </is>
      </c>
      <c r="O728" t="inlineStr">
        <is>
          <t>Commercial Real Estate</t>
        </is>
      </c>
      <c r="Q728" t="inlineStr">
        <is>
          <t>Not Found</t>
        </is>
      </c>
    </row>
    <row r="729">
      <c r="A729" t="inlineStr">
        <is>
          <t>54a306a174686935bed6cf4e</t>
        </is>
      </c>
      <c r="B729" t="inlineStr">
        <is>
          <t>Lee Gansler</t>
        </is>
      </c>
      <c r="C729">
        <f>HYPERLINK("http://www.linkedin.com/in/lee-gansler-03641844")</f>
        <v/>
      </c>
      <c r="D729" t="inlineStr">
        <is>
          <t>Not Found</t>
        </is>
      </c>
      <c r="E729" t="inlineStr">
        <is>
          <t>Managing Director</t>
        </is>
      </c>
      <c r="F729">
        <f>HYPERLINK("https://app.apollo.io/#/people/54a306a174686935bed6cf4e")</f>
        <v/>
      </c>
      <c r="G729" t="inlineStr">
        <is>
          <t>Buckhurst Plant Hire</t>
        </is>
      </c>
      <c r="H729">
        <f>HYPERLINK("https://app.apollo.io/#/organizations/556d57647369641258c6e400")</f>
        <v/>
      </c>
      <c r="I729">
        <f>HYPERLINK("http://www.buckhurstplanthire.co.uk/")</f>
        <v/>
      </c>
      <c r="J729">
        <f>HYPERLINK("http://www.linkedin.com/company/buckhurst-plant-hire")</f>
        <v/>
      </c>
      <c r="K729">
        <f>HYPERLINK("https://twitter.com/BuckhurstPlant")</f>
        <v/>
      </c>
      <c r="L729">
        <f>HYPERLINK("Not Found")</f>
        <v/>
      </c>
      <c r="M729" t="inlineStr">
        <is>
          <t>Waterfoot, United Kingdom</t>
        </is>
      </c>
      <c r="N729" t="inlineStr">
        <is>
          <t>64</t>
        </is>
      </c>
      <c r="O729" t="inlineStr">
        <is>
          <t>Commercial Real Estate</t>
        </is>
      </c>
      <c r="P729" t="inlineStr">
        <is>
          <t>specialist equipment rental &amp; plant hire</t>
        </is>
      </c>
      <c r="Q729" t="inlineStr">
        <is>
          <t>Not Found</t>
        </is>
      </c>
    </row>
    <row r="730">
      <c r="A730" t="inlineStr">
        <is>
          <t>5b1ac000a6da9828d4b24b55</t>
        </is>
      </c>
      <c r="B730" t="inlineStr">
        <is>
          <t>Keith Wilson</t>
        </is>
      </c>
      <c r="C730">
        <f>HYPERLINK("http://www.linkedin.com/in/keith-wilson-16750670")</f>
        <v/>
      </c>
      <c r="D730" t="inlineStr">
        <is>
          <t>Not Found</t>
        </is>
      </c>
      <c r="E730" t="inlineStr">
        <is>
          <t>Development Director</t>
        </is>
      </c>
      <c r="F730">
        <f>HYPERLINK("https://app.apollo.io/#/people/5b1ac000a6da9828d4b24b55")</f>
        <v/>
      </c>
      <c r="G730" t="inlineStr">
        <is>
          <t>PLP</t>
        </is>
      </c>
      <c r="H730">
        <f>HYPERLINK("https://app.apollo.io/#/accounts/6578be4b80740b02ccdf665e")</f>
        <v/>
      </c>
      <c r="I730">
        <f>HYPERLINK("http://www.plproperty.com/")</f>
        <v/>
      </c>
      <c r="J730">
        <f>HYPERLINK("http://www.linkedin.com/company/plproperty")</f>
        <v/>
      </c>
      <c r="K730">
        <f>HYPERLINK("https://twitter.com/PLPropUK")</f>
        <v/>
      </c>
      <c r="L730">
        <f>HYPERLINK("Not Found")</f>
        <v/>
      </c>
      <c r="M730" t="inlineStr">
        <is>
          <t>Warrington, United Kingdom</t>
        </is>
      </c>
      <c r="N730" t="inlineStr">
        <is>
          <t>50</t>
        </is>
      </c>
      <c r="O730" t="inlineStr">
        <is>
          <t>Commercial Real Estate</t>
        </is>
      </c>
      <c r="P730" t="inlineStr">
        <is>
          <t>logistics &amp; industrial real estate,commercial developer</t>
        </is>
      </c>
      <c r="Q730" t="inlineStr">
        <is>
          <t>Not Found</t>
        </is>
      </c>
    </row>
    <row r="731">
      <c r="A731" t="inlineStr">
        <is>
          <t>54ec0df17468694311b54f46</t>
        </is>
      </c>
      <c r="B731" t="inlineStr">
        <is>
          <t>Izura Ikram</t>
        </is>
      </c>
      <c r="C731">
        <f>HYPERLINK("http://www.linkedin.com/in/izuraikram")</f>
        <v/>
      </c>
      <c r="D731" t="inlineStr">
        <is>
          <t>Not Found</t>
        </is>
      </c>
      <c r="E731" t="inlineStr">
        <is>
          <t>Associate Director</t>
        </is>
      </c>
      <c r="F731">
        <f>HYPERLINK("https://app.apollo.io/#/people/54ec0df17468694311b54f46")</f>
        <v/>
      </c>
      <c r="G731" t="inlineStr">
        <is>
          <t>Colliers</t>
        </is>
      </c>
      <c r="H731">
        <f>HYPERLINK("https://app.apollo.io/#/accounts/64aaf6c63d556a0001e8eda6")</f>
        <v/>
      </c>
      <c r="I731">
        <f>HYPERLINK("http://www.colliers.com/")</f>
        <v/>
      </c>
      <c r="J731">
        <f>HYPERLINK("http://www.linkedin.com/company/colliers")</f>
        <v/>
      </c>
      <c r="K731">
        <f>HYPERLINK("https://twitter.com/Colliers")</f>
        <v/>
      </c>
      <c r="L731">
        <f>HYPERLINK("https://facebook.com/colliersinternational/")</f>
        <v/>
      </c>
      <c r="M731" t="inlineStr">
        <is>
          <t>Birmingham, United Kingdom</t>
        </is>
      </c>
      <c r="N731" t="inlineStr">
        <is>
          <t>25,000</t>
        </is>
      </c>
      <c r="O731" t="inlineStr">
        <is>
          <t>Commercial Real Estate</t>
        </is>
      </c>
      <c r="P731" t="inlineStr">
        <is>
          <t>brokerage &amp; agency,corporate solutions</t>
        </is>
      </c>
      <c r="Q731" t="inlineStr">
        <is>
          <t>Not Found</t>
        </is>
      </c>
    </row>
    <row r="732">
      <c r="A732" t="inlineStr">
        <is>
          <t>57df0243a6da987b519ecbd2</t>
        </is>
      </c>
      <c r="B732" t="inlineStr">
        <is>
          <t>Peter Scholes</t>
        </is>
      </c>
      <c r="C732">
        <f>HYPERLINK("http://www.linkedin.com/in/peter-scholes-920791115")</f>
        <v/>
      </c>
      <c r="D732" t="inlineStr">
        <is>
          <t>Not Found</t>
        </is>
      </c>
      <c r="E732" t="inlineStr">
        <is>
          <t>Associate Director</t>
        </is>
      </c>
      <c r="F732">
        <f>HYPERLINK("https://app.apollo.io/#/people/57df0243a6da987b519ecbd2")</f>
        <v/>
      </c>
      <c r="G732" t="inlineStr">
        <is>
          <t>Colliers</t>
        </is>
      </c>
      <c r="H732">
        <f>HYPERLINK("https://app.apollo.io/#/accounts/64aaf6c63d556a0001e8eda6")</f>
        <v/>
      </c>
      <c r="I732">
        <f>HYPERLINK("http://www.colliers.com/")</f>
        <v/>
      </c>
      <c r="J732">
        <f>HYPERLINK("http://www.linkedin.com/company/colliers")</f>
        <v/>
      </c>
      <c r="K732">
        <f>HYPERLINK("https://twitter.com/Colliers")</f>
        <v/>
      </c>
      <c r="L732">
        <f>HYPERLINK("https://facebook.com/colliersinternational/")</f>
        <v/>
      </c>
      <c r="M732" t="inlineStr">
        <is>
          <t>Manchester, United Kingdom</t>
        </is>
      </c>
      <c r="N732" t="inlineStr">
        <is>
          <t>25,000</t>
        </is>
      </c>
      <c r="O732" t="inlineStr">
        <is>
          <t>Commercial Real Estate</t>
        </is>
      </c>
      <c r="P732" t="inlineStr">
        <is>
          <t>brokerage &amp; agency,corporate solutions</t>
        </is>
      </c>
      <c r="Q732" t="inlineStr">
        <is>
          <t>Not Found</t>
        </is>
      </c>
    </row>
    <row r="733">
      <c r="A733" t="inlineStr">
        <is>
          <t>63a8839c4ffdbf0001643cf4</t>
        </is>
      </c>
      <c r="B733" t="inlineStr">
        <is>
          <t>Eleanor Mead</t>
        </is>
      </c>
      <c r="C733">
        <f>HYPERLINK("http://www.linkedin.com/in/eleanor-mead")</f>
        <v/>
      </c>
      <c r="D733" t="inlineStr">
        <is>
          <t>Not Found</t>
        </is>
      </c>
      <c r="E733" t="inlineStr">
        <is>
          <t>EMEA Senior Talent Acquisition Partner - Data Centre Solutions</t>
        </is>
      </c>
      <c r="F733">
        <f>HYPERLINK("https://app.apollo.io/#/people/63a8839c4ffdbf0001643cf4")</f>
        <v/>
      </c>
      <c r="G733" t="inlineStr">
        <is>
          <t>CBRE Global Workplace Solutions (GWS)</t>
        </is>
      </c>
      <c r="H733">
        <f>HYPERLINK("https://app.apollo.io/#/accounts/6509fed6f449800001b69a15")</f>
        <v/>
      </c>
      <c r="I733">
        <f>HYPERLINK("http://www.coor.com/")</f>
        <v/>
      </c>
      <c r="J733">
        <f>HYPERLINK("http://www.linkedin.com/company/cbre-gws")</f>
        <v/>
      </c>
      <c r="K733">
        <f>HYPERLINK("Not Found")</f>
        <v/>
      </c>
      <c r="L733">
        <f>HYPERLINK("Not Found")</f>
        <v/>
      </c>
      <c r="M733" t="inlineStr">
        <is>
          <t>London, United Kingdom</t>
        </is>
      </c>
      <c r="N733" t="inlineStr">
        <is>
          <t>15,000</t>
        </is>
      </c>
      <c r="O733" t="inlineStr">
        <is>
          <t>Commercial Real Estate</t>
        </is>
      </c>
      <c r="P733" t="inlineStr">
        <is>
          <t>project management,advisory,transaction services</t>
        </is>
      </c>
      <c r="Q733" t="inlineStr">
        <is>
          <t>Not Found</t>
        </is>
      </c>
    </row>
    <row r="734">
      <c r="A734" t="inlineStr">
        <is>
          <t>6562860e1fe12d0001239970</t>
        </is>
      </c>
      <c r="B734" t="inlineStr">
        <is>
          <t>Craig Jackson</t>
        </is>
      </c>
      <c r="C734">
        <f>HYPERLINK("http://www.linkedin.com/in/craigjacksonproperty")</f>
        <v/>
      </c>
      <c r="D734" t="inlineStr">
        <is>
          <t>Not Found</t>
        </is>
      </c>
      <c r="E734" t="inlineStr">
        <is>
          <t>Associate Director</t>
        </is>
      </c>
      <c r="F734">
        <f>HYPERLINK("https://app.apollo.io/#/people/6562860e1fe12d0001239970")</f>
        <v/>
      </c>
      <c r="G734" t="inlineStr">
        <is>
          <t>Colliers</t>
        </is>
      </c>
      <c r="H734">
        <f>HYPERLINK("https://app.apollo.io/#/accounts/64aaf6c63d556a0001e8eda6")</f>
        <v/>
      </c>
      <c r="I734">
        <f>HYPERLINK("http://www.colliers.com/")</f>
        <v/>
      </c>
      <c r="J734">
        <f>HYPERLINK("http://www.linkedin.com/company/colliers")</f>
        <v/>
      </c>
      <c r="K734">
        <f>HYPERLINK("https://twitter.com/Colliers")</f>
        <v/>
      </c>
      <c r="L734">
        <f>HYPERLINK("https://facebook.com/colliersinternational/")</f>
        <v/>
      </c>
      <c r="M734" t="inlineStr">
        <is>
          <t>London, United Kingdom</t>
        </is>
      </c>
      <c r="N734" t="inlineStr">
        <is>
          <t>25,000</t>
        </is>
      </c>
      <c r="O734" t="inlineStr">
        <is>
          <t>Commercial Real Estate</t>
        </is>
      </c>
      <c r="P734" t="inlineStr">
        <is>
          <t>brokerage &amp; agency,corporate solutions</t>
        </is>
      </c>
      <c r="Q734" t="inlineStr">
        <is>
          <t>Not Found</t>
        </is>
      </c>
    </row>
    <row r="735">
      <c r="A735" t="inlineStr">
        <is>
          <t>54a828b37468696de7e7a563</t>
        </is>
      </c>
      <c r="B735" t="inlineStr">
        <is>
          <t>Thea Rowe</t>
        </is>
      </c>
      <c r="C735">
        <f>HYPERLINK("http://www.linkedin.com/in/thea-rowe-3155932b")</f>
        <v/>
      </c>
      <c r="D735" t="inlineStr">
        <is>
          <t>Not Found</t>
        </is>
      </c>
      <c r="E735" t="inlineStr">
        <is>
          <t>Associate Director</t>
        </is>
      </c>
      <c r="F735">
        <f>HYPERLINK("https://app.apollo.io/#/people/54a828b37468696de7e7a563")</f>
        <v/>
      </c>
      <c r="G735" t="inlineStr">
        <is>
          <t>Bruce Gillingham Pollard</t>
        </is>
      </c>
      <c r="H735">
        <f>HYPERLINK("https://app.apollo.io/#/organizations/5e5775dc3f9e640001579e2f")</f>
        <v/>
      </c>
      <c r="I735">
        <f>HYPERLINK("http://www.brucegillinghampollard.com/")</f>
        <v/>
      </c>
      <c r="J735">
        <f>HYPERLINK("http://www.linkedin.com/company/bruce-gillingham-pollard")</f>
        <v/>
      </c>
      <c r="K735">
        <f>HYPERLINK("https://twitter.com/BGPtweet")</f>
        <v/>
      </c>
      <c r="L735">
        <f>HYPERLINK("https://facebook.com/pages/Bruce-Gillingham-Pollard/212124998814834")</f>
        <v/>
      </c>
      <c r="M735" t="inlineStr">
        <is>
          <t>London, United Kingdom</t>
        </is>
      </c>
      <c r="N735" t="inlineStr">
        <is>
          <t>30</t>
        </is>
      </c>
      <c r="O735" t="inlineStr">
        <is>
          <t>Commercial Real Estate</t>
        </is>
      </c>
      <c r="P735" t="inlineStr">
        <is>
          <t>retail,property,brokerage,development</t>
        </is>
      </c>
      <c r="Q735" t="inlineStr">
        <is>
          <t>Not Found</t>
        </is>
      </c>
    </row>
    <row r="736">
      <c r="A736" t="inlineStr">
        <is>
          <t>57d54f0aa6da9853a6678f7f</t>
        </is>
      </c>
      <c r="B736" t="inlineStr">
        <is>
          <t>Rebecca Jansson</t>
        </is>
      </c>
      <c r="C736">
        <f>HYPERLINK("http://www.linkedin.com/in/rebecca-jansson-1b059228")</f>
        <v/>
      </c>
      <c r="D736" t="inlineStr">
        <is>
          <t>Not Found</t>
        </is>
      </c>
      <c r="E736" t="inlineStr">
        <is>
          <t>Events Director</t>
        </is>
      </c>
      <c r="F736">
        <f>HYPERLINK("https://app.apollo.io/#/people/57d54f0aa6da9853a6678f7f")</f>
        <v/>
      </c>
      <c r="G736" t="inlineStr">
        <is>
          <t>Cameron</t>
        </is>
      </c>
      <c r="H736">
        <f>HYPERLINK("https://app.apollo.io/#/organizations/57c505e6a6da986a07d2c381")</f>
        <v/>
      </c>
      <c r="I736">
        <f>HYPERLINK("http://www.cameron.com.au/")</f>
        <v/>
      </c>
      <c r="J736">
        <f>HYPERLINK("http://www.linkedin.com/company/cameron-industrial-commercial")</f>
        <v/>
      </c>
      <c r="K736">
        <f>HYPERLINK("Not Found")</f>
        <v/>
      </c>
      <c r="L736">
        <f>HYPERLINK("https://www.facebook.com/cameron.commercial")</f>
        <v/>
      </c>
      <c r="M736" t="inlineStr">
        <is>
          <t>Edinburgh, United Kingdom</t>
        </is>
      </c>
      <c r="N736" t="inlineStr">
        <is>
          <t>87</t>
        </is>
      </c>
      <c r="O736" t="inlineStr">
        <is>
          <t>Commercial Real Estate</t>
        </is>
      </c>
      <c r="P736" t="inlineStr">
        <is>
          <t>commercial real estate,property management</t>
        </is>
      </c>
      <c r="Q736" t="inlineStr">
        <is>
          <t>Not Found</t>
        </is>
      </c>
    </row>
    <row r="737">
      <c r="A737" t="inlineStr">
        <is>
          <t>54a537e37468693442ca7686</t>
        </is>
      </c>
      <c r="B737" t="inlineStr">
        <is>
          <t>Mrinal Kumar</t>
        </is>
      </c>
      <c r="C737">
        <f>HYPERLINK("http://www.linkedin.com/in/mrinal-kumar-260b5118")</f>
        <v/>
      </c>
      <c r="D737" t="inlineStr">
        <is>
          <t>Not Found</t>
        </is>
      </c>
      <c r="E737" t="inlineStr">
        <is>
          <t>Regional Director</t>
        </is>
      </c>
      <c r="F737">
        <f>HYPERLINK("https://app.apollo.io/#/people/54a537e37468693442ca7686")</f>
        <v/>
      </c>
      <c r="G737" t="inlineStr">
        <is>
          <t>Awfis Space Solutions Private Limited</t>
        </is>
      </c>
      <c r="H737">
        <f>HYPERLINK("https://app.apollo.io/#/organizations/56d8f6b1f3e5bb57fb002827")</f>
        <v/>
      </c>
      <c r="I737">
        <f>HYPERLINK("http://www.awfis.com/")</f>
        <v/>
      </c>
      <c r="J737">
        <f>HYPERLINK("http://www.linkedin.com/company/awfis")</f>
        <v/>
      </c>
      <c r="K737">
        <f>HYPERLINK("https://twitter.com/myawfis")</f>
        <v/>
      </c>
      <c r="L737">
        <f>HYPERLINK("https://facebook.com/myawfis/")</f>
        <v/>
      </c>
      <c r="M737" t="inlineStr">
        <is>
          <t>London, United Kingdom</t>
        </is>
      </c>
      <c r="N737" t="inlineStr">
        <is>
          <t>540</t>
        </is>
      </c>
      <c r="O737" t="inlineStr">
        <is>
          <t>Commercial Real Estate</t>
        </is>
      </c>
      <c r="P737" t="inlineStr">
        <is>
          <t>coworking spaces,community,office spaces</t>
        </is>
      </c>
      <c r="Q737" t="inlineStr">
        <is>
          <t>Not Found</t>
        </is>
      </c>
    </row>
    <row r="738">
      <c r="A738" t="inlineStr">
        <is>
          <t>5d402e3bf6512586f05ccc60</t>
        </is>
      </c>
      <c r="B738" t="inlineStr">
        <is>
          <t>Rebecca Rawlinson</t>
        </is>
      </c>
      <c r="C738">
        <f>HYPERLINK("http://www.linkedin.com/in/rebecca-mary-rawlinson-9702939b")</f>
        <v/>
      </c>
      <c r="D738" t="inlineStr">
        <is>
          <t>Not Found</t>
        </is>
      </c>
      <c r="E738" t="inlineStr">
        <is>
          <t>Director - Legal</t>
        </is>
      </c>
      <c r="F738">
        <f>HYPERLINK("https://app.apollo.io/#/people/5d402e3bf6512586f05ccc60")</f>
        <v/>
      </c>
      <c r="G738" t="inlineStr">
        <is>
          <t>Oxford Properties Group</t>
        </is>
      </c>
      <c r="H738">
        <f>HYPERLINK("https://app.apollo.io/#/organizations/54a13c1d69702d267a40c301")</f>
        <v/>
      </c>
      <c r="I738">
        <f>HYPERLINK("http://www.oxfordproperties.com/")</f>
        <v/>
      </c>
      <c r="J738">
        <f>HYPERLINK("http://www.linkedin.com/company/oxford-properties-group")</f>
        <v/>
      </c>
      <c r="K738">
        <f>HYPERLINK("https://twitter.com/oxfordpropgrp")</f>
        <v/>
      </c>
      <c r="L738">
        <f>HYPERLINK("https://facebook.com/Oxford-Properties-Group-144027735748216/")</f>
        <v/>
      </c>
      <c r="M738" t="inlineStr">
        <is>
          <t>London, United Kingdom</t>
        </is>
      </c>
      <c r="N738" t="inlineStr">
        <is>
          <t>1,700</t>
        </is>
      </c>
      <c r="O738" t="inlineStr">
        <is>
          <t>Commercial Real Estate</t>
        </is>
      </c>
      <c r="P738" t="inlineStr">
        <is>
          <t>real estate,development,investment,property management</t>
        </is>
      </c>
      <c r="Q738" t="inlineStr">
        <is>
          <t>Not Found</t>
        </is>
      </c>
    </row>
    <row r="739">
      <c r="A739" t="inlineStr">
        <is>
          <t>6571ff81a0f8640001616bd5</t>
        </is>
      </c>
      <c r="B739" t="inlineStr">
        <is>
          <t>Jon Watson</t>
        </is>
      </c>
      <c r="C739">
        <f>HYPERLINK("http://www.linkedin.com/in/jon-watson-19385b20")</f>
        <v/>
      </c>
      <c r="D739" t="inlineStr">
        <is>
          <t>Not Found</t>
        </is>
      </c>
      <c r="E739" t="inlineStr">
        <is>
          <t>Development Director</t>
        </is>
      </c>
      <c r="F739">
        <f>HYPERLINK("https://app.apollo.io/#/people/6571ff81a0f8640001616bd5")</f>
        <v/>
      </c>
      <c r="G739" t="inlineStr">
        <is>
          <t>Landsec</t>
        </is>
      </c>
      <c r="H739">
        <f>HYPERLINK("https://app.apollo.io/#/accounts/6578b86a75dc3a02ccc995c8")</f>
        <v/>
      </c>
      <c r="I739">
        <f>HYPERLINK("http://www.landsec.com/")</f>
        <v/>
      </c>
      <c r="J739">
        <f>HYPERLINK("http://www.linkedin.com/company/landsec")</f>
        <v/>
      </c>
      <c r="K739">
        <f>HYPERLINK("https://twitter.com/landsecgroup?lang=en")</f>
        <v/>
      </c>
      <c r="L739">
        <f>HYPERLINK("https://facebook.com/pages/category/Real-Estate-Company/Landsec-Group-335042077050643/")</f>
        <v/>
      </c>
      <c r="M739" t="inlineStr">
        <is>
          <t>London, United Kingdom</t>
        </is>
      </c>
      <c r="N739" t="inlineStr">
        <is>
          <t>860</t>
        </is>
      </c>
      <c r="O739" t="inlineStr">
        <is>
          <t>Commercial Real Estate</t>
        </is>
      </c>
      <c r="P739" t="inlineStr">
        <is>
          <t>property investment,management &amp; development</t>
        </is>
      </c>
      <c r="Q739" t="inlineStr">
        <is>
          <t>Not Found</t>
        </is>
      </c>
    </row>
    <row r="740">
      <c r="A740" t="inlineStr">
        <is>
          <t>5b220b94a6da9878c4f31281</t>
        </is>
      </c>
      <c r="B740" t="inlineStr">
        <is>
          <t>Barry Jones</t>
        </is>
      </c>
      <c r="C740">
        <f>HYPERLINK("http://www.linkedin.com/in/barry-jones-8a3094b6")</f>
        <v/>
      </c>
      <c r="D740" t="inlineStr">
        <is>
          <t>Not Found</t>
        </is>
      </c>
      <c r="E740" t="inlineStr">
        <is>
          <t>Operations Director</t>
        </is>
      </c>
      <c r="F740">
        <f>HYPERLINK("https://app.apollo.io/#/people/5b220b94a6da9878c4f31281")</f>
        <v/>
      </c>
      <c r="G740" t="inlineStr">
        <is>
          <t>4D Monitoring</t>
        </is>
      </c>
      <c r="H740">
        <f>HYPERLINK("https://app.apollo.io/#/accounts/6578baa06a983e03f8ae827f")</f>
        <v/>
      </c>
      <c r="I740">
        <f>HYPERLINK("http://www.4dmonitoring.co.uk/")</f>
        <v/>
      </c>
      <c r="J740">
        <f>HYPERLINK("http://www.linkedin.com/company/4d-monitoring")</f>
        <v/>
      </c>
      <c r="K740">
        <f>HYPERLINK("Not Found")</f>
        <v/>
      </c>
      <c r="L740">
        <f>HYPERLINK("Not Found")</f>
        <v/>
      </c>
      <c r="M740" t="inlineStr">
        <is>
          <t>Saint Ives, United Kingdom</t>
        </is>
      </c>
      <c r="N740" t="inlineStr">
        <is>
          <t>6</t>
        </is>
      </c>
      <c r="O740" t="inlineStr">
        <is>
          <t>Commercial Real Estate</t>
        </is>
      </c>
      <c r="P740" t="inlineStr">
        <is>
          <t>building environment management,property performance monitoring</t>
        </is>
      </c>
      <c r="Q740" t="inlineStr">
        <is>
          <t>Not Found</t>
        </is>
      </c>
    </row>
    <row r="741">
      <c r="A741" t="inlineStr">
        <is>
          <t>57d3ce8aa6da9853ae85b263</t>
        </is>
      </c>
      <c r="B741" t="inlineStr">
        <is>
          <t>Edward Danis</t>
        </is>
      </c>
      <c r="C741">
        <f>HYPERLINK("http://www.linkedin.com/in/edward-baker-danis-9146a898")</f>
        <v/>
      </c>
      <c r="D741" t="inlineStr">
        <is>
          <t>Not Found</t>
        </is>
      </c>
      <c r="E741" t="inlineStr">
        <is>
          <t>Associate Director</t>
        </is>
      </c>
      <c r="F741">
        <f>HYPERLINK("https://app.apollo.io/#/people/57d3ce8aa6da9853ae85b263")</f>
        <v/>
      </c>
      <c r="G741" t="inlineStr">
        <is>
          <t>Colliers</t>
        </is>
      </c>
      <c r="H741">
        <f>HYPERLINK("https://app.apollo.io/#/accounts/6578c2e248f92e02cc97a7cd")</f>
        <v/>
      </c>
      <c r="I741">
        <f>HYPERLINK("http://www.colliers.com/")</f>
        <v/>
      </c>
      <c r="J741">
        <f>HYPERLINK("http://www.linkedin.com/company/colliers")</f>
        <v/>
      </c>
      <c r="K741">
        <f>HYPERLINK("https://twitter.com/collierscanada")</f>
        <v/>
      </c>
      <c r="L741">
        <f>HYPERLINK("Not Found")</f>
        <v/>
      </c>
      <c r="M741" t="inlineStr">
        <is>
          <t>London, United Kingdom</t>
        </is>
      </c>
      <c r="N741" t="inlineStr">
        <is>
          <t>25,000</t>
        </is>
      </c>
      <c r="O741" t="inlineStr">
        <is>
          <t>Commercial Real Estate</t>
        </is>
      </c>
      <c r="P741" t="inlineStr">
        <is>
          <t>brokerage &amp; agency,corporate solutions</t>
        </is>
      </c>
      <c r="Q741" t="inlineStr">
        <is>
          <t>Not Found</t>
        </is>
      </c>
    </row>
    <row r="742">
      <c r="A742" t="inlineStr">
        <is>
          <t>607f3953e2fd6600015e354e</t>
        </is>
      </c>
      <c r="B742" t="inlineStr">
        <is>
          <t>Simon Garnett</t>
        </is>
      </c>
      <c r="C742">
        <f>HYPERLINK("http://www.linkedin.com/in/simon-garnett-27610940")</f>
        <v/>
      </c>
      <c r="D742" t="inlineStr">
        <is>
          <t>Not Found</t>
        </is>
      </c>
      <c r="E742" t="inlineStr">
        <is>
          <t>Finance Director</t>
        </is>
      </c>
      <c r="F742">
        <f>HYPERLINK("https://app.apollo.io/#/people/607f3953e2fd6600015e354e")</f>
        <v/>
      </c>
      <c r="G742" t="inlineStr">
        <is>
          <t>Downing</t>
        </is>
      </c>
      <c r="H742">
        <f>HYPERLINK("https://app.apollo.io/#/organizations/54a1399769702db45db35200")</f>
        <v/>
      </c>
      <c r="I742">
        <f>HYPERLINK("http://www.downing.com/")</f>
        <v/>
      </c>
      <c r="J742">
        <f>HYPERLINK("http://www.linkedin.com/company/downing")</f>
        <v/>
      </c>
      <c r="K742">
        <f>HYPERLINK("https://twitter.com/DowningGroup")</f>
        <v/>
      </c>
      <c r="L742">
        <f>HYPERLINK("https://facebook.com/pages/Downing/247574782037867")</f>
        <v/>
      </c>
      <c r="M742" t="inlineStr">
        <is>
          <t>Altrincham, United Kingdom</t>
        </is>
      </c>
      <c r="N742" t="inlineStr">
        <is>
          <t>130</t>
        </is>
      </c>
      <c r="O742" t="inlineStr">
        <is>
          <t>Commercial Real Estate</t>
        </is>
      </c>
      <c r="P742" t="inlineStr">
        <is>
          <t>development,student accommodation,construction</t>
        </is>
      </c>
      <c r="Q742" t="inlineStr">
        <is>
          <t>Not Found</t>
        </is>
      </c>
    </row>
    <row r="743">
      <c r="A743" t="inlineStr">
        <is>
          <t>57d508fca6da98537a461ccf</t>
        </is>
      </c>
      <c r="B743" t="inlineStr">
        <is>
          <t>Rejinder Bangar</t>
        </is>
      </c>
      <c r="C743">
        <f>HYPERLINK("http://www.linkedin.com/in/rejinderbangar")</f>
        <v/>
      </c>
      <c r="D743" t="inlineStr">
        <is>
          <t>Not Found</t>
        </is>
      </c>
      <c r="E743" t="inlineStr">
        <is>
          <t>Portfolio Director</t>
        </is>
      </c>
      <c r="F743">
        <f>HYPERLINK("https://app.apollo.io/#/people/57d508fca6da98537a461ccf")</f>
        <v/>
      </c>
      <c r="G743" t="inlineStr">
        <is>
          <t>Landsec</t>
        </is>
      </c>
      <c r="H743">
        <f>HYPERLINK("https://app.apollo.io/#/accounts/6578b86a75dc3a02ccc995c8")</f>
        <v/>
      </c>
      <c r="I743">
        <f>HYPERLINK("http://www.landsec.com/")</f>
        <v/>
      </c>
      <c r="J743">
        <f>HYPERLINK("http://www.linkedin.com/company/landsec")</f>
        <v/>
      </c>
      <c r="K743">
        <f>HYPERLINK("https://twitter.com/landsecgroup?lang=en")</f>
        <v/>
      </c>
      <c r="L743">
        <f>HYPERLINK("https://facebook.com/pages/category/Real-Estate-Company/Landsec-Group-335042077050643/")</f>
        <v/>
      </c>
      <c r="M743" t="inlineStr">
        <is>
          <t>London, United Kingdom</t>
        </is>
      </c>
      <c r="N743" t="inlineStr">
        <is>
          <t>860</t>
        </is>
      </c>
      <c r="O743" t="inlineStr">
        <is>
          <t>Commercial Real Estate</t>
        </is>
      </c>
      <c r="P743" t="inlineStr">
        <is>
          <t>property investment,management &amp; development</t>
        </is>
      </c>
      <c r="Q743" t="inlineStr">
        <is>
          <t>Not Found</t>
        </is>
      </c>
    </row>
    <row r="744">
      <c r="A744" t="inlineStr">
        <is>
          <t>54a550587468692fa2f5658e</t>
        </is>
      </c>
      <c r="B744" t="inlineStr">
        <is>
          <t>Dean Conway</t>
        </is>
      </c>
      <c r="C744">
        <f>HYPERLINK("http://www.linkedin.com/in/dean-conway-a7048457")</f>
        <v/>
      </c>
      <c r="D744" t="inlineStr">
        <is>
          <t>Not Found</t>
        </is>
      </c>
      <c r="E744" t="inlineStr">
        <is>
          <t>Account Director</t>
        </is>
      </c>
      <c r="F744">
        <f>HYPERLINK("https://app.apollo.io/#/people/54a550587468692fa2f5658e")</f>
        <v/>
      </c>
      <c r="G744" t="inlineStr">
        <is>
          <t>CBRE Global Workplace Solutions (GWS)</t>
        </is>
      </c>
      <c r="H744">
        <f>HYPERLINK("https://app.apollo.io/#/accounts/6509fed6f449800001b69a15")</f>
        <v/>
      </c>
      <c r="I744">
        <f>HYPERLINK("http://www.coor.com/")</f>
        <v/>
      </c>
      <c r="J744">
        <f>HYPERLINK("http://www.linkedin.com/company/cbre-gws")</f>
        <v/>
      </c>
      <c r="K744">
        <f>HYPERLINK("Not Found")</f>
        <v/>
      </c>
      <c r="L744">
        <f>HYPERLINK("Not Found")</f>
        <v/>
      </c>
      <c r="M744" t="inlineStr">
        <is>
          <t>London, United Kingdom</t>
        </is>
      </c>
      <c r="N744" t="inlineStr">
        <is>
          <t>15,000</t>
        </is>
      </c>
      <c r="O744" t="inlineStr">
        <is>
          <t>Commercial Real Estate</t>
        </is>
      </c>
      <c r="P744" t="inlineStr">
        <is>
          <t>project management,advisory,transaction services</t>
        </is>
      </c>
      <c r="Q744" t="inlineStr">
        <is>
          <t>Not Found</t>
        </is>
      </c>
    </row>
    <row r="745">
      <c r="A745" t="inlineStr">
        <is>
          <t>5f03011ddfb2110001119d6f</t>
        </is>
      </c>
      <c r="B745" t="inlineStr">
        <is>
          <t>Joe Gibson</t>
        </is>
      </c>
      <c r="C745">
        <f>HYPERLINK("http://www.linkedin.com/in/joe-gibson-241571180")</f>
        <v/>
      </c>
      <c r="D745" t="inlineStr">
        <is>
          <t>Not Found</t>
        </is>
      </c>
      <c r="E745" t="inlineStr">
        <is>
          <t>Account Director</t>
        </is>
      </c>
      <c r="F745">
        <f>HYPERLINK("https://app.apollo.io/#/people/5f03011ddfb2110001119d6f")</f>
        <v/>
      </c>
      <c r="G745" t="inlineStr">
        <is>
          <t>CBRE Global Workplace Solutions (GWS)</t>
        </is>
      </c>
      <c r="H745">
        <f>HYPERLINK("https://app.apollo.io/#/accounts/6509fed6f449800001b69a15")</f>
        <v/>
      </c>
      <c r="I745">
        <f>HYPERLINK("http://www.coor.com/")</f>
        <v/>
      </c>
      <c r="J745">
        <f>HYPERLINK("http://www.linkedin.com/company/cbre-gws")</f>
        <v/>
      </c>
      <c r="K745">
        <f>HYPERLINK("Not Found")</f>
        <v/>
      </c>
      <c r="L745">
        <f>HYPERLINK("Not Found")</f>
        <v/>
      </c>
      <c r="M745" t="inlineStr">
        <is>
          <t>Rochdale, United Kingdom</t>
        </is>
      </c>
      <c r="N745" t="inlineStr">
        <is>
          <t>15,000</t>
        </is>
      </c>
      <c r="O745" t="inlineStr">
        <is>
          <t>Commercial Real Estate</t>
        </is>
      </c>
      <c r="P745" t="inlineStr">
        <is>
          <t>project management,advisory,transaction services</t>
        </is>
      </c>
      <c r="Q745" t="inlineStr">
        <is>
          <t>Not Found</t>
        </is>
      </c>
    </row>
    <row r="746">
      <c r="A746" t="inlineStr">
        <is>
          <t>61689776a381e9000124f07d</t>
        </is>
      </c>
      <c r="B746" t="inlineStr">
        <is>
          <t>Simon Adams</t>
        </is>
      </c>
      <c r="C746">
        <f>HYPERLINK("http://www.linkedin.com/in/simon-adams-7939011b")</f>
        <v/>
      </c>
      <c r="D746" t="inlineStr">
        <is>
          <t>Not Found</t>
        </is>
      </c>
      <c r="E746" t="inlineStr">
        <is>
          <t>Managing Director</t>
        </is>
      </c>
      <c r="F746">
        <f>HYPERLINK("https://app.apollo.io/#/people/61689776a381e9000124f07d")</f>
        <v/>
      </c>
      <c r="G746" t="inlineStr">
        <is>
          <t>Peill &amp; Company</t>
        </is>
      </c>
      <c r="H746">
        <f>HYPERLINK("https://app.apollo.io/#/organizations/54a1290369702db648d75a01")</f>
        <v/>
      </c>
      <c r="I746">
        <f>HYPERLINK("http://www.peill.com/")</f>
        <v/>
      </c>
      <c r="J746">
        <f>HYPERLINK("http://www.linkedin.com/company/peill-&amp;-company")</f>
        <v/>
      </c>
      <c r="K746">
        <f>HYPERLINK("https://twitter.com/peillcompany")</f>
        <v/>
      </c>
      <c r="L746">
        <f>HYPERLINK("Not Found")</f>
        <v/>
      </c>
      <c r="M746" t="inlineStr">
        <is>
          <t>Kendal, United Kingdom</t>
        </is>
      </c>
      <c r="N746" t="inlineStr">
        <is>
          <t>8</t>
        </is>
      </c>
      <c r="O746" t="inlineStr">
        <is>
          <t>Commercial Real Estate</t>
        </is>
      </c>
      <c r="P746" t="inlineStr">
        <is>
          <t>commercial property,property investments</t>
        </is>
      </c>
      <c r="Q746" t="inlineStr">
        <is>
          <t>Not Found</t>
        </is>
      </c>
    </row>
    <row r="747">
      <c r="A747" t="inlineStr">
        <is>
          <t>54a7250e74686965d90b7619</t>
        </is>
      </c>
      <c r="B747" t="inlineStr">
        <is>
          <t>Stephanie Bishop</t>
        </is>
      </c>
      <c r="C747">
        <f>HYPERLINK("http://www.linkedin.com/in/stephanie-bishop-a9836163")</f>
        <v/>
      </c>
      <c r="D747" t="inlineStr">
        <is>
          <t>Not Found</t>
        </is>
      </c>
      <c r="E747" t="inlineStr">
        <is>
          <t>Development Director</t>
        </is>
      </c>
      <c r="F747">
        <f>HYPERLINK("https://app.apollo.io/#/people/54a7250e74686965d90b7619")</f>
        <v/>
      </c>
      <c r="G747" t="inlineStr">
        <is>
          <t>Newlands Property Developments LLP</t>
        </is>
      </c>
      <c r="H747">
        <f>HYPERLINK("https://app.apollo.io/#/organizations/5da2a196ee571f000133c09a")</f>
        <v/>
      </c>
      <c r="I747">
        <f>HYPERLINK("http://www.newlandsuk.com/")</f>
        <v/>
      </c>
      <c r="J747">
        <f>HYPERLINK("http://www.linkedin.com/company/newlands-property-developments-llp")</f>
        <v/>
      </c>
      <c r="K747">
        <f>HYPERLINK("Not Found")</f>
        <v/>
      </c>
      <c r="L747">
        <f>HYPERLINK("Not Found")</f>
        <v/>
      </c>
      <c r="M747" t="inlineStr">
        <is>
          <t>London, United Kingdom</t>
        </is>
      </c>
      <c r="N747" t="inlineStr">
        <is>
          <t>14</t>
        </is>
      </c>
      <c r="O747" t="inlineStr">
        <is>
          <t>Commercial Real Estate</t>
        </is>
      </c>
      <c r="P747" t="inlineStr">
        <is>
          <t>commercial real estate</t>
        </is>
      </c>
      <c r="Q747" t="inlineStr">
        <is>
          <t>Not Found</t>
        </is>
      </c>
    </row>
    <row r="748">
      <c r="A748" t="inlineStr">
        <is>
          <t>54a3f3467468693676003e20</t>
        </is>
      </c>
      <c r="B748" t="inlineStr">
        <is>
          <t>James Denney</t>
        </is>
      </c>
      <c r="C748">
        <f>HYPERLINK("http://www.linkedin.com/in/james-denney-b0659368")</f>
        <v/>
      </c>
      <c r="D748" t="inlineStr">
        <is>
          <t>Not Found</t>
        </is>
      </c>
      <c r="E748" t="inlineStr">
        <is>
          <t>Commercial Director</t>
        </is>
      </c>
      <c r="F748">
        <f>HYPERLINK("https://app.apollo.io/#/people/54a3f3467468693676003e20")</f>
        <v/>
      </c>
      <c r="G748" t="inlineStr">
        <is>
          <t>ARK MECHANICAL AND ELECTRICAL SERVICES LIMITED</t>
        </is>
      </c>
      <c r="H748">
        <f>HYPERLINK("https://app.apollo.io/#/organizations/654475500d1e090001aa28f4")</f>
        <v/>
      </c>
      <c r="I748">
        <f>HYPERLINK("Not Found")</f>
        <v/>
      </c>
      <c r="J748">
        <f>HYPERLINK("http://www.linkedin.com/company/ark-mechanical-and-electrical-services-limited")</f>
        <v/>
      </c>
      <c r="K748">
        <f>HYPERLINK("Not Found")</f>
        <v/>
      </c>
      <c r="L748">
        <f>HYPERLINK("Not Found")</f>
        <v/>
      </c>
      <c r="M748" t="inlineStr">
        <is>
          <t>Chelmsford, United Kingdom</t>
        </is>
      </c>
      <c r="N748" t="inlineStr">
        <is>
          <t>19</t>
        </is>
      </c>
      <c r="O748" t="inlineStr">
        <is>
          <t>Commercial Real Estate</t>
        </is>
      </c>
      <c r="Q748" t="inlineStr">
        <is>
          <t>Not Found</t>
        </is>
      </c>
    </row>
    <row r="749">
      <c r="A749" t="inlineStr">
        <is>
          <t>5ae1644aa6da984db19814a0</t>
        </is>
      </c>
      <c r="B749" t="inlineStr">
        <is>
          <t>Graham Pardoe</t>
        </is>
      </c>
      <c r="C749">
        <f>HYPERLINK("http://www.linkedin.com/in/graham-pardoe-46b46462")</f>
        <v/>
      </c>
      <c r="D749" t="inlineStr">
        <is>
          <t>Not Found</t>
        </is>
      </c>
      <c r="E749" t="inlineStr">
        <is>
          <t>Managing Director</t>
        </is>
      </c>
      <c r="F749">
        <f>HYPERLINK("https://app.apollo.io/#/people/5ae1644aa6da984db19814a0")</f>
        <v/>
      </c>
      <c r="G749" t="inlineStr">
        <is>
          <t>Newlands Property Developments LLP</t>
        </is>
      </c>
      <c r="H749">
        <f>HYPERLINK("https://app.apollo.io/#/organizations/5da2a196ee571f000133c09a")</f>
        <v/>
      </c>
      <c r="I749">
        <f>HYPERLINK("http://www.newlandsuk.com/")</f>
        <v/>
      </c>
      <c r="J749">
        <f>HYPERLINK("http://www.linkedin.com/company/newlands-property-developments-llp")</f>
        <v/>
      </c>
      <c r="K749">
        <f>HYPERLINK("Not Found")</f>
        <v/>
      </c>
      <c r="L749">
        <f>HYPERLINK("Not Found")</f>
        <v/>
      </c>
      <c r="M749" t="inlineStr">
        <is>
          <t>Worcester, United Kingdom</t>
        </is>
      </c>
      <c r="N749" t="inlineStr">
        <is>
          <t>14</t>
        </is>
      </c>
      <c r="O749" t="inlineStr">
        <is>
          <t>Commercial Real Estate</t>
        </is>
      </c>
      <c r="P749" t="inlineStr">
        <is>
          <t>commercial real estate</t>
        </is>
      </c>
      <c r="Q749" t="inlineStr">
        <is>
          <t>Not Found</t>
        </is>
      </c>
    </row>
    <row r="750">
      <c r="A750" t="inlineStr">
        <is>
          <t>57e1541ea6da987dcc0143de</t>
        </is>
      </c>
      <c r="B750" t="inlineStr">
        <is>
          <t>Jonathan Powell</t>
        </is>
      </c>
      <c r="C750">
        <f>HYPERLINK("http://www.linkedin.com/in/jonathan-powell-91198299")</f>
        <v/>
      </c>
      <c r="D750" t="inlineStr">
        <is>
          <t>Not Found</t>
        </is>
      </c>
      <c r="E750" t="inlineStr">
        <is>
          <t>Associate Director</t>
        </is>
      </c>
      <c r="F750">
        <f>HYPERLINK("https://app.apollo.io/#/people/57e1541ea6da987dcc0143de")</f>
        <v/>
      </c>
      <c r="G750" t="inlineStr">
        <is>
          <t>Colliers</t>
        </is>
      </c>
      <c r="H750">
        <f>HYPERLINK("https://app.apollo.io/#/accounts/64aaf6c63d556a0001e8eda6")</f>
        <v/>
      </c>
      <c r="I750">
        <f>HYPERLINK("http://www.colliers.com/")</f>
        <v/>
      </c>
      <c r="J750">
        <f>HYPERLINK("http://www.linkedin.com/company/colliers")</f>
        <v/>
      </c>
      <c r="K750">
        <f>HYPERLINK("https://twitter.com/Colliers")</f>
        <v/>
      </c>
      <c r="L750">
        <f>HYPERLINK("https://facebook.com/colliersinternational/")</f>
        <v/>
      </c>
      <c r="M750" t="inlineStr">
        <is>
          <t>Manchester, United Kingdom</t>
        </is>
      </c>
      <c r="N750" t="inlineStr">
        <is>
          <t>25,000</t>
        </is>
      </c>
      <c r="O750" t="inlineStr">
        <is>
          <t>Commercial Real Estate</t>
        </is>
      </c>
      <c r="P750" t="inlineStr">
        <is>
          <t>brokerage &amp; agency,corporate solutions</t>
        </is>
      </c>
      <c r="Q750" t="inlineStr">
        <is>
          <t>Not Found</t>
        </is>
      </c>
    </row>
    <row r="751">
      <c r="A751" t="inlineStr">
        <is>
          <t>5adba7e7a6da986295183da2</t>
        </is>
      </c>
      <c r="B751" t="inlineStr">
        <is>
          <t>Paul Burns</t>
        </is>
      </c>
      <c r="C751">
        <f>HYPERLINK("http://www.linkedin.com/in/paul-burns-b9727144")</f>
        <v/>
      </c>
      <c r="D751" t="inlineStr">
        <is>
          <t>Not Found</t>
        </is>
      </c>
      <c r="E751" t="inlineStr">
        <is>
          <t>Operations Director</t>
        </is>
      </c>
      <c r="F751">
        <f>HYPERLINK("https://app.apollo.io/#/people/5adba7e7a6da986295183da2")</f>
        <v/>
      </c>
      <c r="G751" t="inlineStr">
        <is>
          <t>CBRE Global Workplace Solutions (GWS)</t>
        </is>
      </c>
      <c r="H751">
        <f>HYPERLINK("https://app.apollo.io/#/accounts/6509fed6f449800001b69a15")</f>
        <v/>
      </c>
      <c r="I751">
        <f>HYPERLINK("http://www.coor.com/")</f>
        <v/>
      </c>
      <c r="J751">
        <f>HYPERLINK("http://www.linkedin.com/company/cbre-gws")</f>
        <v/>
      </c>
      <c r="K751">
        <f>HYPERLINK("Not Found")</f>
        <v/>
      </c>
      <c r="L751">
        <f>HYPERLINK("Not Found")</f>
        <v/>
      </c>
      <c r="M751" t="inlineStr">
        <is>
          <t>Banbridge, United Kingdom</t>
        </is>
      </c>
      <c r="N751" t="inlineStr">
        <is>
          <t>15,000</t>
        </is>
      </c>
      <c r="O751" t="inlineStr">
        <is>
          <t>Commercial Real Estate</t>
        </is>
      </c>
      <c r="P751" t="inlineStr">
        <is>
          <t>project management,advisory,transaction services</t>
        </is>
      </c>
      <c r="Q751" t="inlineStr">
        <is>
          <t>Not Found</t>
        </is>
      </c>
    </row>
    <row r="752">
      <c r="A752" t="inlineStr">
        <is>
          <t>54a3828c7468692fa2aad200</t>
        </is>
      </c>
      <c r="B752" t="inlineStr">
        <is>
          <t>Sinead Turnbull</t>
        </is>
      </c>
      <c r="C752">
        <f>HYPERLINK("http://www.linkedin.com/in/sinead-turnbull-26686155")</f>
        <v/>
      </c>
      <c r="D752" t="inlineStr">
        <is>
          <t>Not Found</t>
        </is>
      </c>
      <c r="E752" t="inlineStr">
        <is>
          <t>Planning Director</t>
        </is>
      </c>
      <c r="F752">
        <f>HYPERLINK("https://app.apollo.io/#/people/54a3828c7468692fa2aad200")</f>
        <v/>
      </c>
      <c r="G752" t="inlineStr">
        <is>
          <t>Tritax Symmetry</t>
        </is>
      </c>
      <c r="H752">
        <f>HYPERLINK("https://app.apollo.io/#/organizations/5a9ccacea6da98d96d7ec351")</f>
        <v/>
      </c>
      <c r="I752">
        <f>HYPERLINK("http://www.tritaxsymmetry.com/")</f>
        <v/>
      </c>
      <c r="J752">
        <f>HYPERLINK("http://www.linkedin.com/company/tritaxsymmetry")</f>
        <v/>
      </c>
      <c r="K752">
        <f>HYPERLINK("https://twitter.com/tritaxsymmetry")</f>
        <v/>
      </c>
      <c r="L752">
        <f>HYPERLINK("Not Found")</f>
        <v/>
      </c>
      <c r="M752" t="inlineStr">
        <is>
          <t>Rugby, United Kingdom</t>
        </is>
      </c>
      <c r="N752" t="inlineStr">
        <is>
          <t>40</t>
        </is>
      </c>
      <c r="O752" t="inlineStr">
        <is>
          <t>Commercial Real Estate</t>
        </is>
      </c>
      <c r="P752" t="inlineStr">
        <is>
          <t>industrial warehouse units,bespoke buildings</t>
        </is>
      </c>
      <c r="Q752" t="inlineStr">
        <is>
          <t>Not Found</t>
        </is>
      </c>
    </row>
    <row r="753">
      <c r="A753" t="inlineStr">
        <is>
          <t>54a2bac87468693cdd977438</t>
        </is>
      </c>
      <c r="B753" t="inlineStr">
        <is>
          <t>Megan Orr</t>
        </is>
      </c>
      <c r="C753">
        <f>HYPERLINK("http://www.linkedin.com/in/megan-orr-a32a9574")</f>
        <v/>
      </c>
      <c r="D753" t="inlineStr">
        <is>
          <t>Not Found</t>
        </is>
      </c>
      <c r="E753" t="inlineStr">
        <is>
          <t>Associate Director</t>
        </is>
      </c>
      <c r="F753">
        <f>HYPERLINK("https://app.apollo.io/#/people/54a2bac87468693cdd977438")</f>
        <v/>
      </c>
      <c r="G753" t="inlineStr">
        <is>
          <t>Colliers</t>
        </is>
      </c>
      <c r="H753">
        <f>HYPERLINK("https://app.apollo.io/#/accounts/64aaf6c63d556a0001e8eda6")</f>
        <v/>
      </c>
      <c r="I753">
        <f>HYPERLINK("http://www.colliers.com/")</f>
        <v/>
      </c>
      <c r="J753">
        <f>HYPERLINK("http://www.linkedin.com/company/colliers")</f>
        <v/>
      </c>
      <c r="K753">
        <f>HYPERLINK("https://twitter.com/Colliers")</f>
        <v/>
      </c>
      <c r="L753">
        <f>HYPERLINK("https://facebook.com/colliersinternational/")</f>
        <v/>
      </c>
      <c r="M753" t="inlineStr">
        <is>
          <t>London, United Kingdom</t>
        </is>
      </c>
      <c r="N753" t="inlineStr">
        <is>
          <t>25,000</t>
        </is>
      </c>
      <c r="O753" t="inlineStr">
        <is>
          <t>Commercial Real Estate</t>
        </is>
      </c>
      <c r="P753" t="inlineStr">
        <is>
          <t>brokerage &amp; agency,corporate solutions</t>
        </is>
      </c>
      <c r="Q753" t="inlineStr">
        <is>
          <t>Not Found</t>
        </is>
      </c>
    </row>
    <row r="754">
      <c r="A754" t="inlineStr">
        <is>
          <t>55c9d841f3e5bb1168000a50</t>
        </is>
      </c>
      <c r="B754" t="inlineStr">
        <is>
          <t>Jemma Phillips</t>
        </is>
      </c>
      <c r="C754">
        <f>HYPERLINK("http://www.linkedin.com/in/jemma-phillips-02572930")</f>
        <v/>
      </c>
      <c r="D754" t="inlineStr">
        <is>
          <t>Not Found</t>
        </is>
      </c>
      <c r="E754" t="inlineStr">
        <is>
          <t>Finance Director</t>
        </is>
      </c>
      <c r="F754">
        <f>HYPERLINK("https://app.apollo.io/#/people/55c9d841f3e5bb1168000a50")</f>
        <v/>
      </c>
      <c r="G754" t="inlineStr">
        <is>
          <t>Leaders Romans Group</t>
        </is>
      </c>
      <c r="H754">
        <f>HYPERLINK("https://app.apollo.io/#/accounts/6578b8bc85cede01ae5c466b")</f>
        <v/>
      </c>
      <c r="I754">
        <f>HYPERLINK("http://www.lrg.co.uk/")</f>
        <v/>
      </c>
      <c r="J754">
        <f>HYPERLINK("http://www.linkedin.com/company/leaders-romans-group")</f>
        <v/>
      </c>
      <c r="K754">
        <f>HYPERLINK("Not Found")</f>
        <v/>
      </c>
      <c r="L754">
        <f>HYPERLINK("Not Found")</f>
        <v/>
      </c>
      <c r="M754" t="inlineStr">
        <is>
          <t>Wokingham, United Kingdom</t>
        </is>
      </c>
      <c r="N754" t="inlineStr">
        <is>
          <t>2,600</t>
        </is>
      </c>
      <c r="O754" t="inlineStr">
        <is>
          <t>Commercial Real Estate</t>
        </is>
      </c>
      <c r="P754" t="inlineStr">
        <is>
          <t>estate agency,lettings,property investment</t>
        </is>
      </c>
      <c r="Q754" t="inlineStr">
        <is>
          <t>Not Found</t>
        </is>
      </c>
    </row>
    <row r="755">
      <c r="A755" t="inlineStr">
        <is>
          <t>54a8fe8574686930addfb209</t>
        </is>
      </c>
      <c r="B755" t="inlineStr">
        <is>
          <t>Carl Baker</t>
        </is>
      </c>
      <c r="C755">
        <f>HYPERLINK("http://www.linkedin.com/in/carl-baker-9952b641")</f>
        <v/>
      </c>
      <c r="D755" t="inlineStr">
        <is>
          <t>Not Found</t>
        </is>
      </c>
      <c r="E755" t="inlineStr">
        <is>
          <t>Associate Director</t>
        </is>
      </c>
      <c r="F755">
        <f>HYPERLINK("https://app.apollo.io/#/people/54a8fe8574686930addfb209")</f>
        <v/>
      </c>
      <c r="G755" t="inlineStr">
        <is>
          <t>Mounsey Chartered Surveyors</t>
        </is>
      </c>
      <c r="H755">
        <f>HYPERLINK("https://app.apollo.io/#/accounts/6578c2da48f92e01ae97bb73")</f>
        <v/>
      </c>
      <c r="I755">
        <f>HYPERLINK("http://www.mounseysurveyors.co.uk/")</f>
        <v/>
      </c>
      <c r="J755">
        <f>HYPERLINK("http://www.linkedin.com/company/mounsey-chartered-surveyors")</f>
        <v/>
      </c>
      <c r="K755">
        <f>HYPERLINK("https://mobile.twitter.com/mounseysurveyor")</f>
        <v/>
      </c>
      <c r="L755">
        <f>HYPERLINK("https://www.facebook.com/MounseyCharteredSurveyors/")</f>
        <v/>
      </c>
      <c r="M755" t="inlineStr">
        <is>
          <t>Stoke-on-Trent, United Kingdom</t>
        </is>
      </c>
      <c r="N755" t="inlineStr">
        <is>
          <t>20</t>
        </is>
      </c>
      <c r="O755" t="inlineStr">
        <is>
          <t>Commercial Real Estate</t>
        </is>
      </c>
      <c r="P755" t="inlineStr">
        <is>
          <t>sales,lettings,acquisitions,property,asset management</t>
        </is>
      </c>
      <c r="Q755" t="inlineStr">
        <is>
          <t>Not Found</t>
        </is>
      </c>
    </row>
    <row r="756">
      <c r="A756" t="inlineStr">
        <is>
          <t>6061d52257b2f2000126dbc2</t>
        </is>
      </c>
      <c r="B756" t="inlineStr">
        <is>
          <t>Ken Brown</t>
        </is>
      </c>
      <c r="C756">
        <f>HYPERLINK("http://www.linkedin.com/in/ken-brown-21b77a24")</f>
        <v/>
      </c>
      <c r="D756" t="inlineStr">
        <is>
          <t>Not Found</t>
        </is>
      </c>
      <c r="E756" t="inlineStr">
        <is>
          <t>Construction Director</t>
        </is>
      </c>
      <c r="F756">
        <f>HYPERLINK("https://app.apollo.io/#/people/6061d52257b2f2000126dbc2")</f>
        <v/>
      </c>
      <c r="G756" t="inlineStr">
        <is>
          <t>Newlands Property Developments LLP</t>
        </is>
      </c>
      <c r="H756">
        <f>HYPERLINK("https://app.apollo.io/#/organizations/5da2a196ee571f000133c09a")</f>
        <v/>
      </c>
      <c r="I756">
        <f>HYPERLINK("http://www.newlandsuk.com/")</f>
        <v/>
      </c>
      <c r="J756">
        <f>HYPERLINK("http://www.linkedin.com/company/newlands-property-developments-llp")</f>
        <v/>
      </c>
      <c r="K756">
        <f>HYPERLINK("Not Found")</f>
        <v/>
      </c>
      <c r="L756">
        <f>HYPERLINK("Not Found")</f>
        <v/>
      </c>
      <c r="M756" t="inlineStr">
        <is>
          <t>Leicester, United Kingdom</t>
        </is>
      </c>
      <c r="N756" t="inlineStr">
        <is>
          <t>14</t>
        </is>
      </c>
      <c r="O756" t="inlineStr">
        <is>
          <t>Commercial Real Estate</t>
        </is>
      </c>
      <c r="P756" t="inlineStr">
        <is>
          <t>commercial real estate</t>
        </is>
      </c>
      <c r="Q756" t="inlineStr">
        <is>
          <t>Not Found</t>
        </is>
      </c>
    </row>
    <row r="757">
      <c r="A757" t="inlineStr">
        <is>
          <t>61ebe0baf0ac510001d02e32</t>
        </is>
      </c>
      <c r="B757" t="inlineStr">
        <is>
          <t>Sajidah Anwar</t>
        </is>
      </c>
      <c r="C757">
        <f>HYPERLINK("http://www.linkedin.com/in/sajidah-anwar-22244021")</f>
        <v/>
      </c>
      <c r="D757" t="inlineStr">
        <is>
          <t>Not Found</t>
        </is>
      </c>
      <c r="E757" t="inlineStr">
        <is>
          <t>Associate Director</t>
        </is>
      </c>
      <c r="F757">
        <f>HYPERLINK("https://app.apollo.io/#/people/61ebe0baf0ac510001d02e32")</f>
        <v/>
      </c>
      <c r="G757" t="inlineStr">
        <is>
          <t>CBRE Global Workplace Solutions (GWS)</t>
        </is>
      </c>
      <c r="H757">
        <f>HYPERLINK("https://app.apollo.io/#/accounts/6509fed6f449800001b69a15")</f>
        <v/>
      </c>
      <c r="I757">
        <f>HYPERLINK("http://www.coor.com/")</f>
        <v/>
      </c>
      <c r="J757">
        <f>HYPERLINK("http://www.linkedin.com/company/cbre-gws")</f>
        <v/>
      </c>
      <c r="K757">
        <f>HYPERLINK("Not Found")</f>
        <v/>
      </c>
      <c r="L757">
        <f>HYPERLINK("Not Found")</f>
        <v/>
      </c>
      <c r="M757" t="inlineStr">
        <is>
          <t>United Kingdom</t>
        </is>
      </c>
      <c r="N757" t="inlineStr">
        <is>
          <t>15,000</t>
        </is>
      </c>
      <c r="O757" t="inlineStr">
        <is>
          <t>Commercial Real Estate</t>
        </is>
      </c>
      <c r="P757" t="inlineStr">
        <is>
          <t>project management,advisory,transaction services</t>
        </is>
      </c>
      <c r="Q757" t="inlineStr">
        <is>
          <t>Not Found</t>
        </is>
      </c>
    </row>
    <row r="758">
      <c r="A758" t="inlineStr">
        <is>
          <t>5c5806fe80f93e2b923a2c96</t>
        </is>
      </c>
      <c r="B758" t="inlineStr">
        <is>
          <t>Natasha Lowther</t>
        </is>
      </c>
      <c r="C758">
        <f>HYPERLINK("http://www.linkedin.com/in/natasha-lowther-456a0331")</f>
        <v/>
      </c>
      <c r="D758" t="inlineStr">
        <is>
          <t>Not Found</t>
        </is>
      </c>
      <c r="E758" t="inlineStr">
        <is>
          <t>Associate Director</t>
        </is>
      </c>
      <c r="F758">
        <f>HYPERLINK("https://app.apollo.io/#/people/5c5806fe80f93e2b923a2c96")</f>
        <v/>
      </c>
      <c r="G758" t="inlineStr">
        <is>
          <t>BARNES</t>
        </is>
      </c>
      <c r="H758">
        <f>HYPERLINK("https://app.apollo.io/#/organizations/54a11c1b69702d9a8bd08600")</f>
        <v/>
      </c>
      <c r="I758">
        <f>HYPERLINK("http://www.barnes-international.com/")</f>
        <v/>
      </c>
      <c r="J758">
        <f>HYPERLINK("http://www.linkedin.com/company/barnes_realty")</f>
        <v/>
      </c>
      <c r="K758">
        <f>HYPERLINK("https://twitter.com/BarnesImmo")</f>
        <v/>
      </c>
      <c r="L758">
        <f>HYPERLINK("https://www.facebook.com/barnesinternationalrealty")</f>
        <v/>
      </c>
      <c r="M758" t="inlineStr">
        <is>
          <t>London, United Kingdom</t>
        </is>
      </c>
      <c r="N758" t="inlineStr">
        <is>
          <t>840</t>
        </is>
      </c>
      <c r="O758" t="inlineStr">
        <is>
          <t>Commercial Real Estate</t>
        </is>
      </c>
      <c r="P758" t="inlineStr">
        <is>
          <t>luxury residential real estate,exclusive properties</t>
        </is>
      </c>
      <c r="Q758" t="inlineStr">
        <is>
          <t>Not Found</t>
        </is>
      </c>
    </row>
    <row r="759">
      <c r="A759" t="inlineStr">
        <is>
          <t>5b3002a8a6da982d2d367df2</t>
        </is>
      </c>
      <c r="B759" t="inlineStr">
        <is>
          <t>John Wright</t>
        </is>
      </c>
      <c r="C759">
        <f>HYPERLINK("http://www.linkedin.com/in/john-wright-513a6726")</f>
        <v/>
      </c>
      <c r="D759" t="inlineStr">
        <is>
          <t>Not Found</t>
        </is>
      </c>
      <c r="E759" t="inlineStr">
        <is>
          <t>Account Director</t>
        </is>
      </c>
      <c r="F759">
        <f>HYPERLINK("https://app.apollo.io/#/people/5b3002a8a6da982d2d367df2")</f>
        <v/>
      </c>
      <c r="G759" t="inlineStr">
        <is>
          <t>CBRE Global Workplace Solutions (GWS)</t>
        </is>
      </c>
      <c r="H759">
        <f>HYPERLINK("https://app.apollo.io/#/accounts/6509fed6f449800001b69a15")</f>
        <v/>
      </c>
      <c r="I759">
        <f>HYPERLINK("http://www.coor.com/")</f>
        <v/>
      </c>
      <c r="J759">
        <f>HYPERLINK("http://www.linkedin.com/company/cbre-gws")</f>
        <v/>
      </c>
      <c r="K759">
        <f>HYPERLINK("Not Found")</f>
        <v/>
      </c>
      <c r="L759">
        <f>HYPERLINK("Not Found")</f>
        <v/>
      </c>
      <c r="M759" t="inlineStr">
        <is>
          <t>London, United Kingdom</t>
        </is>
      </c>
      <c r="N759" t="inlineStr">
        <is>
          <t>15,000</t>
        </is>
      </c>
      <c r="O759" t="inlineStr">
        <is>
          <t>Commercial Real Estate</t>
        </is>
      </c>
      <c r="P759" t="inlineStr">
        <is>
          <t>project management,advisory,transaction services</t>
        </is>
      </c>
      <c r="Q759" t="inlineStr">
        <is>
          <t>Not Found</t>
        </is>
      </c>
    </row>
    <row r="760">
      <c r="A760" t="inlineStr">
        <is>
          <t>606353db7fea1700011bd5aa</t>
        </is>
      </c>
      <c r="B760" t="inlineStr">
        <is>
          <t>Jonathan Wallis</t>
        </is>
      </c>
      <c r="C760">
        <f>HYPERLINK("http://www.linkedin.com/in/jonathan-wallis-60819216")</f>
        <v/>
      </c>
      <c r="D760" t="inlineStr">
        <is>
          <t>Not Found</t>
        </is>
      </c>
      <c r="E760" t="inlineStr">
        <is>
          <t>Development Director</t>
        </is>
      </c>
      <c r="F760">
        <f>HYPERLINK("https://app.apollo.io/#/people/606353db7fea1700011bd5aa")</f>
        <v/>
      </c>
      <c r="G760" t="inlineStr">
        <is>
          <t>Tritax Symmetry</t>
        </is>
      </c>
      <c r="H760">
        <f>HYPERLINK("https://app.apollo.io/#/organizations/5a9ccacea6da98d96d7ec351")</f>
        <v/>
      </c>
      <c r="I760">
        <f>HYPERLINK("http://www.tritaxsymmetry.com/")</f>
        <v/>
      </c>
      <c r="J760">
        <f>HYPERLINK("http://www.linkedin.com/company/tritaxsymmetry")</f>
        <v/>
      </c>
      <c r="K760">
        <f>HYPERLINK("https://twitter.com/tritaxsymmetry")</f>
        <v/>
      </c>
      <c r="L760">
        <f>HYPERLINK("Not Found")</f>
        <v/>
      </c>
      <c r="M760" t="inlineStr">
        <is>
          <t>London, United Kingdom</t>
        </is>
      </c>
      <c r="N760" t="inlineStr">
        <is>
          <t>40</t>
        </is>
      </c>
      <c r="O760" t="inlineStr">
        <is>
          <t>Commercial Real Estate</t>
        </is>
      </c>
      <c r="P760" t="inlineStr">
        <is>
          <t>industrial warehouse units,bespoke buildings</t>
        </is>
      </c>
      <c r="Q760" t="inlineStr">
        <is>
          <t>Not Found</t>
        </is>
      </c>
    </row>
    <row r="761">
      <c r="A761" t="inlineStr">
        <is>
          <t>60bef00d8cda550001b9f07f</t>
        </is>
      </c>
      <c r="B761" t="inlineStr">
        <is>
          <t>Philip Cdcmp</t>
        </is>
      </c>
      <c r="C761">
        <f>HYPERLINK("http://www.linkedin.com/in/philiphands")</f>
        <v/>
      </c>
      <c r="D761" t="inlineStr">
        <is>
          <t>Not Found</t>
        </is>
      </c>
      <c r="E761" t="inlineStr">
        <is>
          <t>Director of Operations</t>
        </is>
      </c>
      <c r="F761">
        <f>HYPERLINK("https://app.apollo.io/#/people/60bef00d8cda550001b9f07f")</f>
        <v/>
      </c>
      <c r="G761" t="inlineStr">
        <is>
          <t>CBRE Global Workplace Solutions (GWS)</t>
        </is>
      </c>
      <c r="H761">
        <f>HYPERLINK("https://app.apollo.io/#/accounts/6509fed6f449800001b69a15")</f>
        <v/>
      </c>
      <c r="I761">
        <f>HYPERLINK("http://www.coor.com/")</f>
        <v/>
      </c>
      <c r="J761">
        <f>HYPERLINK("http://www.linkedin.com/company/cbre-gws")</f>
        <v/>
      </c>
      <c r="K761">
        <f>HYPERLINK("Not Found")</f>
        <v/>
      </c>
      <c r="L761">
        <f>HYPERLINK("Not Found")</f>
        <v/>
      </c>
      <c r="M761" t="inlineStr">
        <is>
          <t>Redhill, United Kingdom</t>
        </is>
      </c>
      <c r="N761" t="inlineStr">
        <is>
          <t>15,000</t>
        </is>
      </c>
      <c r="O761" t="inlineStr">
        <is>
          <t>Commercial Real Estate</t>
        </is>
      </c>
      <c r="P761" t="inlineStr">
        <is>
          <t>project management,advisory,transaction services</t>
        </is>
      </c>
      <c r="Q761" t="inlineStr">
        <is>
          <t>Not Found</t>
        </is>
      </c>
    </row>
    <row r="762">
      <c r="A762" t="inlineStr">
        <is>
          <t>60ef8f1c928eb40001bc939e</t>
        </is>
      </c>
      <c r="B762" t="inlineStr">
        <is>
          <t>Roisin McGrath</t>
        </is>
      </c>
      <c r="C762">
        <f>HYPERLINK("http://www.linkedin.com/in/roisin-mcgrath-b9907993")</f>
        <v/>
      </c>
      <c r="D762" t="inlineStr">
        <is>
          <t>Not Found</t>
        </is>
      </c>
      <c r="E762" t="inlineStr">
        <is>
          <t>Associate Director</t>
        </is>
      </c>
      <c r="F762">
        <f>HYPERLINK("https://app.apollo.io/#/people/60ef8f1c928eb40001bc939e")</f>
        <v/>
      </c>
      <c r="G762" t="inlineStr">
        <is>
          <t>Herbert R Thomas</t>
        </is>
      </c>
      <c r="H762">
        <f>HYPERLINK("https://app.apollo.io/#/accounts/6578bf6eccf69c02cc54f294")</f>
        <v/>
      </c>
      <c r="I762">
        <f>HYPERLINK("http://www.hrt.uk.com/")</f>
        <v/>
      </c>
      <c r="J762">
        <f>HYPERLINK("http://www.linkedin.com/company/herbert-r-thomas")</f>
        <v/>
      </c>
      <c r="K762">
        <f>HYPERLINK("https://twitter.com/HerbertRThomas")</f>
        <v/>
      </c>
      <c r="L762">
        <f>HYPERLINK("https://www.facebook.com/Herbert-R-Thomas-247651058594338/")</f>
        <v/>
      </c>
      <c r="M762" t="inlineStr">
        <is>
          <t>Cardiff, United Kingdom</t>
        </is>
      </c>
      <c r="N762" t="inlineStr">
        <is>
          <t>34</t>
        </is>
      </c>
      <c r="O762" t="inlineStr">
        <is>
          <t>Commercial Real Estate</t>
        </is>
      </c>
      <c r="P762" t="inlineStr">
        <is>
          <t>surveying,valuers,estate agents,agriculture</t>
        </is>
      </c>
      <c r="Q762" t="inlineStr">
        <is>
          <t>Not Found</t>
        </is>
      </c>
    </row>
    <row r="763">
      <c r="A763" t="inlineStr">
        <is>
          <t>5aec42e5a6da9813f4677912</t>
        </is>
      </c>
      <c r="B763" t="inlineStr">
        <is>
          <t>Spencer Jones</t>
        </is>
      </c>
      <c r="C763">
        <f>HYPERLINK("http://www.linkedin.com/in/spencer-jones-887a32b")</f>
        <v/>
      </c>
      <c r="D763" t="inlineStr">
        <is>
          <t>Not Found</t>
        </is>
      </c>
      <c r="E763" t="inlineStr">
        <is>
          <t>Associate Director</t>
        </is>
      </c>
      <c r="F763">
        <f>HYPERLINK("https://app.apollo.io/#/people/5aec42e5a6da9813f4677912")</f>
        <v/>
      </c>
      <c r="G763" t="inlineStr">
        <is>
          <t>Colliers</t>
        </is>
      </c>
      <c r="H763">
        <f>HYPERLINK("https://app.apollo.io/#/accounts/64aaf6c63d556a0001e8eda6")</f>
        <v/>
      </c>
      <c r="I763">
        <f>HYPERLINK("http://www.colliers.com/")</f>
        <v/>
      </c>
      <c r="J763">
        <f>HYPERLINK("http://www.linkedin.com/company/colliers")</f>
        <v/>
      </c>
      <c r="K763">
        <f>HYPERLINK("https://twitter.com/Colliers")</f>
        <v/>
      </c>
      <c r="L763">
        <f>HYPERLINK("https://facebook.com/colliersinternational/")</f>
        <v/>
      </c>
      <c r="M763" t="inlineStr">
        <is>
          <t>Dartford, United Kingdom</t>
        </is>
      </c>
      <c r="N763" t="inlineStr">
        <is>
          <t>25,000</t>
        </is>
      </c>
      <c r="O763" t="inlineStr">
        <is>
          <t>Commercial Real Estate</t>
        </is>
      </c>
      <c r="P763" t="inlineStr">
        <is>
          <t>brokerage &amp; agency,corporate solutions</t>
        </is>
      </c>
      <c r="Q763" t="inlineStr">
        <is>
          <t>Not Found</t>
        </is>
      </c>
    </row>
    <row r="764">
      <c r="A764" t="inlineStr">
        <is>
          <t>619a0e839a072400016dae76</t>
        </is>
      </c>
      <c r="B764" t="inlineStr">
        <is>
          <t>Kevin Beal</t>
        </is>
      </c>
      <c r="C764">
        <f>HYPERLINK("http://www.linkedin.com/in/kevin-beal-09457a211")</f>
        <v/>
      </c>
      <c r="D764" t="inlineStr">
        <is>
          <t>Not Found</t>
        </is>
      </c>
      <c r="E764" t="inlineStr">
        <is>
          <t>Associate Director</t>
        </is>
      </c>
      <c r="F764">
        <f>HYPERLINK("https://app.apollo.io/#/people/619a0e839a072400016dae76")</f>
        <v/>
      </c>
      <c r="G764" t="inlineStr">
        <is>
          <t>CBRE Global Workplace Solutions (GWS)</t>
        </is>
      </c>
      <c r="H764">
        <f>HYPERLINK("https://app.apollo.io/#/accounts/6509fed6f449800001b69a15")</f>
        <v/>
      </c>
      <c r="I764">
        <f>HYPERLINK("http://www.coor.com/")</f>
        <v/>
      </c>
      <c r="J764">
        <f>HYPERLINK("http://www.linkedin.com/company/cbre-gws")</f>
        <v/>
      </c>
      <c r="K764">
        <f>HYPERLINK("Not Found")</f>
        <v/>
      </c>
      <c r="L764">
        <f>HYPERLINK("Not Found")</f>
        <v/>
      </c>
      <c r="M764" t="inlineStr">
        <is>
          <t>Woking, United Kingdom</t>
        </is>
      </c>
      <c r="N764" t="inlineStr">
        <is>
          <t>15,000</t>
        </is>
      </c>
      <c r="O764" t="inlineStr">
        <is>
          <t>Commercial Real Estate</t>
        </is>
      </c>
      <c r="P764" t="inlineStr">
        <is>
          <t>project management,advisory,transaction services</t>
        </is>
      </c>
      <c r="Q764" t="inlineStr">
        <is>
          <t>Not Found</t>
        </is>
      </c>
    </row>
    <row r="765">
      <c r="A765" t="inlineStr">
        <is>
          <t>63dd105f5bb66d0001916a7e</t>
        </is>
      </c>
      <c r="B765" t="inlineStr">
        <is>
          <t>Renu Kang</t>
        </is>
      </c>
      <c r="C765">
        <f>HYPERLINK("http://www.linkedin.com/in/renu-kang-ba660784")</f>
        <v/>
      </c>
      <c r="D765" t="inlineStr">
        <is>
          <t>Not Found</t>
        </is>
      </c>
      <c r="E765" t="inlineStr">
        <is>
          <t>Associate Director</t>
        </is>
      </c>
      <c r="F765">
        <f>HYPERLINK("https://app.apollo.io/#/people/63dd105f5bb66d0001916a7e")</f>
        <v/>
      </c>
      <c r="G765" t="inlineStr">
        <is>
          <t>Colliers</t>
        </is>
      </c>
      <c r="H765">
        <f>HYPERLINK("https://app.apollo.io/#/accounts/64aaf6c63d556a0001e8eda6")</f>
        <v/>
      </c>
      <c r="I765">
        <f>HYPERLINK("http://www.colliers.com/")</f>
        <v/>
      </c>
      <c r="J765">
        <f>HYPERLINK("http://www.linkedin.com/company/colliers")</f>
        <v/>
      </c>
      <c r="K765">
        <f>HYPERLINK("https://twitter.com/Colliers")</f>
        <v/>
      </c>
      <c r="L765">
        <f>HYPERLINK("https://facebook.com/colliersinternational/")</f>
        <v/>
      </c>
      <c r="M765" t="inlineStr">
        <is>
          <t>United Kingdom</t>
        </is>
      </c>
      <c r="N765" t="inlineStr">
        <is>
          <t>25,000</t>
        </is>
      </c>
      <c r="O765" t="inlineStr">
        <is>
          <t>Commercial Real Estate</t>
        </is>
      </c>
      <c r="P765" t="inlineStr">
        <is>
          <t>brokerage &amp; agency,corporate solutions,investment services</t>
        </is>
      </c>
      <c r="Q765" t="inlineStr">
        <is>
          <t>Not Found</t>
        </is>
      </c>
    </row>
    <row r="766">
      <c r="A766" t="inlineStr">
        <is>
          <t>60560aab92d07400016dea46</t>
        </is>
      </c>
      <c r="B766" t="inlineStr">
        <is>
          <t>Kaycee Gardner</t>
        </is>
      </c>
      <c r="C766">
        <f>HYPERLINK("http://www.linkedin.com/in/kaycee-gardner-ba6aab54")</f>
        <v/>
      </c>
      <c r="D766" t="inlineStr">
        <is>
          <t>Not Found</t>
        </is>
      </c>
      <c r="E766" t="inlineStr">
        <is>
          <t>Senior Vice President of Development</t>
        </is>
      </c>
      <c r="F766">
        <f>HYPERLINK("https://app.apollo.io/#/people/60560aab92d07400016dea46")</f>
        <v/>
      </c>
      <c r="G766" t="inlineStr">
        <is>
          <t>Chesterfield</t>
        </is>
      </c>
      <c r="H766">
        <f>HYPERLINK("https://app.apollo.io/#/organizations/5b807d88324d44414c21b3d1")</f>
        <v/>
      </c>
      <c r="I766">
        <f>HYPERLINK("http://www.chesterfieldllc.com/")</f>
        <v/>
      </c>
      <c r="J766">
        <f>HYPERLINK("http://www.linkedin.com/company/chesterfieldllc")</f>
        <v/>
      </c>
      <c r="K766">
        <f>HYPERLINK("Not Found")</f>
        <v/>
      </c>
      <c r="L766">
        <f>HYPERLINK("Not Found")</f>
        <v/>
      </c>
      <c r="M766" t="inlineStr">
        <is>
          <t>Chesterfield, United Kingdom</t>
        </is>
      </c>
      <c r="N766" t="inlineStr">
        <is>
          <t>22</t>
        </is>
      </c>
      <c r="O766" t="inlineStr">
        <is>
          <t>Commercial Real Estate</t>
        </is>
      </c>
      <c r="P766" t="inlineStr">
        <is>
          <t>corporate offices,industrial buildings,project management</t>
        </is>
      </c>
      <c r="Q766" t="inlineStr">
        <is>
          <t>Not Found</t>
        </is>
      </c>
    </row>
    <row r="767">
      <c r="A767" t="inlineStr">
        <is>
          <t>61b47639dbfb7c00017ae57a</t>
        </is>
      </c>
      <c r="B767" t="inlineStr">
        <is>
          <t>Dan Moore</t>
        </is>
      </c>
      <c r="C767">
        <f>HYPERLINK("http://www.linkedin.com/in/dan-moore-38823480")</f>
        <v/>
      </c>
      <c r="D767" t="inlineStr">
        <is>
          <t>Not Found</t>
        </is>
      </c>
      <c r="E767" t="inlineStr">
        <is>
          <t>Associate Director</t>
        </is>
      </c>
      <c r="F767">
        <f>HYPERLINK("https://app.apollo.io/#/people/61b47639dbfb7c00017ae57a")</f>
        <v/>
      </c>
      <c r="G767" t="inlineStr">
        <is>
          <t>Colliers</t>
        </is>
      </c>
      <c r="H767">
        <f>HYPERLINK("https://app.apollo.io/#/accounts/6578c2e248f92e02cc97a7cd")</f>
        <v/>
      </c>
      <c r="I767">
        <f>HYPERLINK("http://www.colliers.com/")</f>
        <v/>
      </c>
      <c r="J767">
        <f>HYPERLINK("http://www.linkedin.com/company/colliers")</f>
        <v/>
      </c>
      <c r="K767">
        <f>HYPERLINK("https://twitter.com/collierscanada")</f>
        <v/>
      </c>
      <c r="L767">
        <f>HYPERLINK("Not Found")</f>
        <v/>
      </c>
      <c r="M767" t="inlineStr">
        <is>
          <t>Bristol, United Kingdom</t>
        </is>
      </c>
      <c r="N767" t="inlineStr">
        <is>
          <t>25,000</t>
        </is>
      </c>
      <c r="O767" t="inlineStr">
        <is>
          <t>Commercial Real Estate</t>
        </is>
      </c>
      <c r="P767" t="inlineStr">
        <is>
          <t>brokerage &amp; agency,corporate solutions,investment services</t>
        </is>
      </c>
      <c r="Q767" t="inlineStr">
        <is>
          <t>Not Found</t>
        </is>
      </c>
    </row>
    <row r="768">
      <c r="A768" t="inlineStr">
        <is>
          <t>57dd98baa6da987b1567d1f5</t>
        </is>
      </c>
      <c r="B768" t="inlineStr">
        <is>
          <t>Jim Dean</t>
        </is>
      </c>
      <c r="C768">
        <f>HYPERLINK("http://www.linkedin.com/in/jim-dean-88371441")</f>
        <v/>
      </c>
      <c r="D768" t="inlineStr">
        <is>
          <t>Not Found</t>
        </is>
      </c>
      <c r="E768" t="inlineStr">
        <is>
          <t>Commercial Director</t>
        </is>
      </c>
      <c r="F768">
        <f>HYPERLINK("https://app.apollo.io/#/people/57dd98baa6da987b1567d1f5")</f>
        <v/>
      </c>
      <c r="G768" t="inlineStr">
        <is>
          <t>Downing</t>
        </is>
      </c>
      <c r="H768">
        <f>HYPERLINK("https://app.apollo.io/#/organizations/54a1399769702db45db35200")</f>
        <v/>
      </c>
      <c r="I768">
        <f>HYPERLINK("http://www.downing.com/")</f>
        <v/>
      </c>
      <c r="J768">
        <f>HYPERLINK("http://www.linkedin.com/company/downing")</f>
        <v/>
      </c>
      <c r="K768">
        <f>HYPERLINK("https://twitter.com/DowningGroup")</f>
        <v/>
      </c>
      <c r="L768">
        <f>HYPERLINK("https://facebook.com/pages/Downing/247574782037867")</f>
        <v/>
      </c>
      <c r="M768" t="inlineStr">
        <is>
          <t>Liverpool, United Kingdom</t>
        </is>
      </c>
      <c r="N768" t="inlineStr">
        <is>
          <t>130</t>
        </is>
      </c>
      <c r="O768" t="inlineStr">
        <is>
          <t>Commercial Real Estate</t>
        </is>
      </c>
      <c r="P768" t="inlineStr">
        <is>
          <t>development,student accommodation,construction</t>
        </is>
      </c>
      <c r="Q768" t="inlineStr">
        <is>
          <t>Not Found</t>
        </is>
      </c>
    </row>
    <row r="769">
      <c r="A769" t="inlineStr">
        <is>
          <t>605c63a8cf86090001fdd6bd</t>
        </is>
      </c>
      <c r="B769" t="inlineStr">
        <is>
          <t>Thomas Bishop</t>
        </is>
      </c>
      <c r="C769">
        <f>HYPERLINK("http://www.linkedin.com/in/thomas-bishop-3a97a278")</f>
        <v/>
      </c>
      <c r="D769" t="inlineStr">
        <is>
          <t>Not Found</t>
        </is>
      </c>
      <c r="E769" t="inlineStr">
        <is>
          <t>Managing Director</t>
        </is>
      </c>
      <c r="F769">
        <f>HYPERLINK("https://app.apollo.io/#/people/605c63a8cf86090001fdd6bd")</f>
        <v/>
      </c>
      <c r="G769" t="inlineStr">
        <is>
          <t>Allsop &amp; Francis Ltd</t>
        </is>
      </c>
      <c r="H769">
        <f>HYPERLINK("https://app.apollo.io/#/organizations/5e56da500c815a00019a190b")</f>
        <v/>
      </c>
      <c r="I769">
        <f>HYPERLINK("http://www.allsopandfrancis.com/")</f>
        <v/>
      </c>
      <c r="J769">
        <f>HYPERLINK("http://www.linkedin.com/company/allsop-&amp;-francis-ltd")</f>
        <v/>
      </c>
      <c r="K769">
        <f>HYPERLINK("https://twitter.com/allsopfrancis")</f>
        <v/>
      </c>
      <c r="L769">
        <f>HYPERLINK("https://www.facebook.com/AllsopAndFrancis")</f>
        <v/>
      </c>
      <c r="M769" t="inlineStr">
        <is>
          <t>Midhurst, United Kingdom</t>
        </is>
      </c>
      <c r="N769" t="inlineStr">
        <is>
          <t>14</t>
        </is>
      </c>
      <c r="O769" t="inlineStr">
        <is>
          <t>Commercial Real Estate</t>
        </is>
      </c>
      <c r="P769" t="inlineStr">
        <is>
          <t>commercial laundry equipment,commercial dishwasher equipment</t>
        </is>
      </c>
      <c r="Q769" t="inlineStr">
        <is>
          <t>Not Found</t>
        </is>
      </c>
    </row>
    <row r="770">
      <c r="A770" t="inlineStr">
        <is>
          <t>54a421767468692abf6a912e</t>
        </is>
      </c>
      <c r="B770" t="inlineStr">
        <is>
          <t>Richard Ainsworth</t>
        </is>
      </c>
      <c r="C770">
        <f>HYPERLINK("http://www.linkedin.com/in/richard-ainsworth-41358b21")</f>
        <v/>
      </c>
      <c r="D770" t="inlineStr">
        <is>
          <t>Not Found</t>
        </is>
      </c>
      <c r="E770" t="inlineStr">
        <is>
          <t>Property Director</t>
        </is>
      </c>
      <c r="F770">
        <f>HYPERLINK("https://app.apollo.io/#/people/54a421767468692abf6a912e")</f>
        <v/>
      </c>
      <c r="G770" t="inlineStr">
        <is>
          <t>Student Castle</t>
        </is>
      </c>
      <c r="H770">
        <f>HYPERLINK("https://app.apollo.io/#/organizations/57c4f7fca6da986a37a2fa97")</f>
        <v/>
      </c>
      <c r="I770">
        <f>HYPERLINK("http://www.studentcastle.co.uk/")</f>
        <v/>
      </c>
      <c r="J770">
        <f>HYPERLINK("http://www.linkedin.com/company/student-castle-limited")</f>
        <v/>
      </c>
      <c r="K770">
        <f>HYPERLINK("https://twitter.com/StudentCastle")</f>
        <v/>
      </c>
      <c r="L770">
        <f>HYPERLINK("https://facebook.com/StudentCastle")</f>
        <v/>
      </c>
      <c r="M770" t="inlineStr">
        <is>
          <t>London, United Kingdom</t>
        </is>
      </c>
      <c r="N770" t="inlineStr">
        <is>
          <t>66</t>
        </is>
      </c>
      <c r="O770" t="inlineStr">
        <is>
          <t>Commercial Real Estate</t>
        </is>
      </c>
      <c r="P770" t="inlineStr">
        <is>
          <t>student accommodation,apartments,real estate</t>
        </is>
      </c>
      <c r="Q770" t="inlineStr">
        <is>
          <t>Not Found</t>
        </is>
      </c>
    </row>
    <row r="771">
      <c r="A771" t="inlineStr">
        <is>
          <t>5ac3e64da6da98152d443775</t>
        </is>
      </c>
      <c r="B771" t="inlineStr">
        <is>
          <t>Anthony Williams</t>
        </is>
      </c>
      <c r="C771">
        <f>HYPERLINK("http://www.linkedin.com/in/anthony-williams-662a5740")</f>
        <v/>
      </c>
      <c r="D771" t="inlineStr">
        <is>
          <t>Not Found</t>
        </is>
      </c>
      <c r="E771" t="inlineStr">
        <is>
          <t>Property Director</t>
        </is>
      </c>
      <c r="F771">
        <f>HYPERLINK("https://app.apollo.io/#/people/5ac3e64da6da98152d443775")</f>
        <v/>
      </c>
      <c r="G771" t="inlineStr">
        <is>
          <t>Goold Estates Ltd</t>
        </is>
      </c>
      <c r="H771">
        <f>HYPERLINK("https://app.apollo.io/#/organizations/54a23d9274686930c2f6e918")</f>
        <v/>
      </c>
      <c r="I771">
        <f>HYPERLINK("Not Found")</f>
        <v/>
      </c>
      <c r="J771">
        <f>HYPERLINK("http://www.linkedin.com/company/goold-estates-ltd")</f>
        <v/>
      </c>
      <c r="K771">
        <f>HYPERLINK("Not Found")</f>
        <v/>
      </c>
      <c r="L771">
        <f>HYPERLINK("Not Found")</f>
        <v/>
      </c>
      <c r="M771" t="inlineStr">
        <is>
          <t>Worcester, United Kingdom</t>
        </is>
      </c>
      <c r="N771" t="inlineStr">
        <is>
          <t>23</t>
        </is>
      </c>
      <c r="O771" t="inlineStr">
        <is>
          <t>Commercial Real Estate</t>
        </is>
      </c>
      <c r="Q771" t="inlineStr">
        <is>
          <t>Not Found</t>
        </is>
      </c>
    </row>
    <row r="772">
      <c r="A772" t="inlineStr">
        <is>
          <t>57e0f31fa6da987d60b6d8c4</t>
        </is>
      </c>
      <c r="B772" t="inlineStr">
        <is>
          <t>Tom McIlwaine</t>
        </is>
      </c>
      <c r="C772">
        <f>HYPERLINK("http://www.linkedin.com/in/tom-mcilwaine-60b78749")</f>
        <v/>
      </c>
      <c r="D772" t="inlineStr">
        <is>
          <t>Not Found</t>
        </is>
      </c>
      <c r="E772" t="inlineStr">
        <is>
          <t>Associate Director</t>
        </is>
      </c>
      <c r="F772">
        <f>HYPERLINK("https://app.apollo.io/#/people/57e0f31fa6da987d60b6d8c4")</f>
        <v/>
      </c>
      <c r="G772" t="inlineStr">
        <is>
          <t>Colliers</t>
        </is>
      </c>
      <c r="H772">
        <f>HYPERLINK("https://app.apollo.io/#/accounts/6578c2e248f92e02cc97a7cd")</f>
        <v/>
      </c>
      <c r="I772">
        <f>HYPERLINK("http://www.colliers.com/")</f>
        <v/>
      </c>
      <c r="J772">
        <f>HYPERLINK("http://www.linkedin.com/company/colliers")</f>
        <v/>
      </c>
      <c r="K772">
        <f>HYPERLINK("https://twitter.com/collierscanada")</f>
        <v/>
      </c>
      <c r="L772">
        <f>HYPERLINK("Not Found")</f>
        <v/>
      </c>
      <c r="M772" t="inlineStr">
        <is>
          <t>Belfast, United Kingdom</t>
        </is>
      </c>
      <c r="N772" t="inlineStr">
        <is>
          <t>25,000</t>
        </is>
      </c>
      <c r="O772" t="inlineStr">
        <is>
          <t>Commercial Real Estate</t>
        </is>
      </c>
      <c r="P772" t="inlineStr">
        <is>
          <t>brokerage &amp; agency,corporate solutions,investment services</t>
        </is>
      </c>
      <c r="Q772" t="inlineStr">
        <is>
          <t>Not Found</t>
        </is>
      </c>
    </row>
    <row r="773">
      <c r="A773" t="inlineStr">
        <is>
          <t>54a5d7127468692cf04dbbac</t>
        </is>
      </c>
      <c r="B773" t="inlineStr">
        <is>
          <t>Neil Nickless</t>
        </is>
      </c>
      <c r="C773">
        <f>HYPERLINK("http://www.linkedin.com/in/neil-nickless-6bb70212")</f>
        <v/>
      </c>
      <c r="D773" t="inlineStr">
        <is>
          <t>Not Found</t>
        </is>
      </c>
      <c r="E773" t="inlineStr">
        <is>
          <t>Associate Director</t>
        </is>
      </c>
      <c r="F773">
        <f>HYPERLINK("https://app.apollo.io/#/people/54a5d7127468692cf04dbbac")</f>
        <v/>
      </c>
      <c r="G773" t="inlineStr">
        <is>
          <t>Fulcro</t>
        </is>
      </c>
      <c r="H773">
        <f>HYPERLINK("https://app.apollo.io/#/organizations/54a121b569702d86b614b202")</f>
        <v/>
      </c>
      <c r="I773">
        <f>HYPERLINK("http://www.fulcro.co.uk/")</f>
        <v/>
      </c>
      <c r="J773">
        <f>HYPERLINK("http://www.linkedin.com/company/fulcro-engineering-services-ltd")</f>
        <v/>
      </c>
      <c r="K773">
        <f>HYPERLINK("https://twitter.com/FulcroEng")</f>
        <v/>
      </c>
      <c r="L773">
        <f>HYPERLINK("Not Found")</f>
        <v/>
      </c>
      <c r="M773" t="inlineStr">
        <is>
          <t>Alcester, United Kingdom</t>
        </is>
      </c>
      <c r="N773" t="inlineStr">
        <is>
          <t>37</t>
        </is>
      </c>
      <c r="O773" t="inlineStr">
        <is>
          <t>Commercial Real Estate</t>
        </is>
      </c>
      <c r="P773" t="inlineStr">
        <is>
          <t>construction detailing,integrated project delivery</t>
        </is>
      </c>
      <c r="Q773" t="inlineStr">
        <is>
          <t>Not Found</t>
        </is>
      </c>
    </row>
    <row r="774">
      <c r="A774" t="inlineStr">
        <is>
          <t>54a1a98a7468694012c6c805</t>
        </is>
      </c>
      <c r="B774" t="inlineStr">
        <is>
          <t>Dominic Goold</t>
        </is>
      </c>
      <c r="C774">
        <f>HYPERLINK("http://www.linkedin.com/in/dominic-goold-3650a815")</f>
        <v/>
      </c>
      <c r="D774" t="inlineStr">
        <is>
          <t>Not Found</t>
        </is>
      </c>
      <c r="E774" t="inlineStr">
        <is>
          <t>Managing Director</t>
        </is>
      </c>
      <c r="F774">
        <f>HYPERLINK("https://app.apollo.io/#/people/54a1a98a7468694012c6c805")</f>
        <v/>
      </c>
      <c r="G774" t="inlineStr">
        <is>
          <t>Goold Estates Ltd</t>
        </is>
      </c>
      <c r="H774">
        <f>HYPERLINK("https://app.apollo.io/#/organizations/54a23d9274686930c2f6e918")</f>
        <v/>
      </c>
      <c r="I774">
        <f>HYPERLINK("Not Found")</f>
        <v/>
      </c>
      <c r="J774">
        <f>HYPERLINK("http://www.linkedin.com/company/goold-estates-ltd")</f>
        <v/>
      </c>
      <c r="K774">
        <f>HYPERLINK("Not Found")</f>
        <v/>
      </c>
      <c r="L774">
        <f>HYPERLINK("Not Found")</f>
        <v/>
      </c>
      <c r="M774" t="inlineStr">
        <is>
          <t>England, United Kingdom</t>
        </is>
      </c>
      <c r="N774" t="inlineStr">
        <is>
          <t>23</t>
        </is>
      </c>
      <c r="O774" t="inlineStr">
        <is>
          <t>Commercial Real Estate</t>
        </is>
      </c>
      <c r="Q774" t="inlineStr">
        <is>
          <t>Not Found</t>
        </is>
      </c>
    </row>
    <row r="775">
      <c r="A775" t="inlineStr">
        <is>
          <t>5fdd53838a6f2200010a57ae</t>
        </is>
      </c>
      <c r="B775" t="inlineStr">
        <is>
          <t>Jill Rioles</t>
        </is>
      </c>
      <c r="C775">
        <f>HYPERLINK("http://www.linkedin.com/in/jill-rioles-9074b2bb")</f>
        <v/>
      </c>
      <c r="D775" t="inlineStr">
        <is>
          <t>Not Found</t>
        </is>
      </c>
      <c r="E775" t="inlineStr">
        <is>
          <t>Director Of Compliance</t>
        </is>
      </c>
      <c r="F775">
        <f>HYPERLINK("https://app.apollo.io/#/people/5fdd53838a6f2200010a57ae")</f>
        <v/>
      </c>
      <c r="G775" t="inlineStr">
        <is>
          <t>Related Management Company</t>
        </is>
      </c>
      <c r="H775">
        <f>HYPERLINK("https://app.apollo.io/#/organizations/5f4e545f3b0e5e008c07eff3")</f>
        <v/>
      </c>
      <c r="I775">
        <f>HYPERLINK("Not Found")</f>
        <v/>
      </c>
      <c r="J775">
        <f>HYPERLINK("http://www.linkedin.com/company/lifeatrmc")</f>
        <v/>
      </c>
      <c r="K775">
        <f>HYPERLINK("Not Found")</f>
        <v/>
      </c>
      <c r="L775">
        <f>HYPERLINK("https://www.facebook.com/RelatedCos/")</f>
        <v/>
      </c>
      <c r="M775" t="inlineStr">
        <is>
          <t>London, United Kingdom</t>
        </is>
      </c>
      <c r="N775" t="inlineStr">
        <is>
          <t>360</t>
        </is>
      </c>
      <c r="O775" t="inlineStr">
        <is>
          <t>Commercial Real Estate</t>
        </is>
      </c>
      <c r="P775" t="inlineStr">
        <is>
          <t>real estate development,commercial real estate</t>
        </is>
      </c>
      <c r="Q775" t="inlineStr">
        <is>
          <t>Not Found</t>
        </is>
      </c>
    </row>
    <row r="776">
      <c r="A776" t="inlineStr">
        <is>
          <t>60c3283ae257d800017a887d</t>
        </is>
      </c>
      <c r="B776" t="inlineStr">
        <is>
          <t>Nigel George</t>
        </is>
      </c>
      <c r="C776">
        <f>HYPERLINK("http://www.linkedin.com/in/nigel-george-529122190")</f>
        <v/>
      </c>
      <c r="D776" t="inlineStr">
        <is>
          <t>Not Found</t>
        </is>
      </c>
      <c r="E776" t="inlineStr">
        <is>
          <t>Executive Director</t>
        </is>
      </c>
      <c r="F776">
        <f>HYPERLINK("https://app.apollo.io/#/people/60c3283ae257d800017a887d")</f>
        <v/>
      </c>
      <c r="G776" t="inlineStr">
        <is>
          <t>Derwent London</t>
        </is>
      </c>
      <c r="H776">
        <f>HYPERLINK("https://app.apollo.io/#/organizations/5f4a1ddd9daa4e0001828553")</f>
        <v/>
      </c>
      <c r="I776">
        <f>HYPERLINK("http://www.derwentlondon.com/")</f>
        <v/>
      </c>
      <c r="J776">
        <f>HYPERLINK("http://www.linkedin.com/company/derwentlondon")</f>
        <v/>
      </c>
      <c r="K776">
        <f>HYPERLINK("http://www.twitter.com/derwentlondon")</f>
        <v/>
      </c>
      <c r="L776">
        <f>HYPERLINK("http://www.facebook.com/derwentlondon")</f>
        <v/>
      </c>
      <c r="M776" t="inlineStr">
        <is>
          <t>London, United Kingdom</t>
        </is>
      </c>
      <c r="N776" t="inlineStr">
        <is>
          <t>210</t>
        </is>
      </c>
      <c r="O776" t="inlineStr">
        <is>
          <t>Commercial Real Estate</t>
        </is>
      </c>
      <c r="P776" t="inlineStr">
        <is>
          <t>commercial real estate</t>
        </is>
      </c>
      <c r="Q776" t="inlineStr">
        <is>
          <t>Not Found</t>
        </is>
      </c>
    </row>
    <row r="777">
      <c r="A777" t="inlineStr">
        <is>
          <t>57d67846a6da98541dba5d62</t>
        </is>
      </c>
      <c r="B777" t="inlineStr">
        <is>
          <t>David Menary</t>
        </is>
      </c>
      <c r="C777">
        <f>HYPERLINK("http://www.linkedin.com/in/david-menary-747b49122")</f>
        <v/>
      </c>
      <c r="D777" t="inlineStr">
        <is>
          <t>Not Found</t>
        </is>
      </c>
      <c r="E777" t="inlineStr">
        <is>
          <t>Director of Residential Services</t>
        </is>
      </c>
      <c r="F777">
        <f>HYPERLINK("https://app.apollo.io/#/people/57d67846a6da98541dba5d62")</f>
        <v/>
      </c>
      <c r="G777" t="inlineStr">
        <is>
          <t>Colliers</t>
        </is>
      </c>
      <c r="H777">
        <f>HYPERLINK("https://app.apollo.io/#/accounts/64aaf6c63d556a0001e8eda6")</f>
        <v/>
      </c>
      <c r="I777">
        <f>HYPERLINK("http://www.colliers.com/")</f>
        <v/>
      </c>
      <c r="J777">
        <f>HYPERLINK("http://www.linkedin.com/company/colliers")</f>
        <v/>
      </c>
      <c r="K777">
        <f>HYPERLINK("https://twitter.com/Colliers")</f>
        <v/>
      </c>
      <c r="L777">
        <f>HYPERLINK("https://facebook.com/colliersinternational/")</f>
        <v/>
      </c>
      <c r="M777" t="inlineStr">
        <is>
          <t>Belfast, United Kingdom</t>
        </is>
      </c>
      <c r="N777" t="inlineStr">
        <is>
          <t>25,000</t>
        </is>
      </c>
      <c r="O777" t="inlineStr">
        <is>
          <t>Commercial Real Estate</t>
        </is>
      </c>
      <c r="P777" t="inlineStr">
        <is>
          <t>brokerage &amp; agency,corporate solutions</t>
        </is>
      </c>
      <c r="Q777" t="inlineStr">
        <is>
          <t>Not Found</t>
        </is>
      </c>
    </row>
    <row r="778">
      <c r="A778" t="inlineStr">
        <is>
          <t>5f4ba65f9f0d3e00013c67e2</t>
        </is>
      </c>
      <c r="B778" t="inlineStr">
        <is>
          <t>Warwick Bowers</t>
        </is>
      </c>
      <c r="C778">
        <f>HYPERLINK("http://www.linkedin.com/in/warwick-bowers-186a45184")</f>
        <v/>
      </c>
      <c r="D778" t="inlineStr">
        <is>
          <t>Not Found</t>
        </is>
      </c>
      <c r="E778" t="inlineStr">
        <is>
          <t>Associate Director</t>
        </is>
      </c>
      <c r="F778">
        <f>HYPERLINK("https://app.apollo.io/#/people/5f4ba65f9f0d3e00013c67e2")</f>
        <v/>
      </c>
      <c r="G778" t="inlineStr">
        <is>
          <t>Colliers</t>
        </is>
      </c>
      <c r="H778">
        <f>HYPERLINK("https://app.apollo.io/#/accounts/64aaf6c63d556a0001e8eda6")</f>
        <v/>
      </c>
      <c r="I778">
        <f>HYPERLINK("http://www.colliers.com/")</f>
        <v/>
      </c>
      <c r="J778">
        <f>HYPERLINK("http://www.linkedin.com/company/colliers")</f>
        <v/>
      </c>
      <c r="K778">
        <f>HYPERLINK("https://twitter.com/Colliers")</f>
        <v/>
      </c>
      <c r="L778">
        <f>HYPERLINK("https://facebook.com/colliersinternational/")</f>
        <v/>
      </c>
      <c r="M778" t="inlineStr">
        <is>
          <t>London, United Kingdom</t>
        </is>
      </c>
      <c r="N778" t="inlineStr">
        <is>
          <t>25,000</t>
        </is>
      </c>
      <c r="O778" t="inlineStr">
        <is>
          <t>Commercial Real Estate</t>
        </is>
      </c>
      <c r="P778" t="inlineStr">
        <is>
          <t>brokerage &amp; agency,corporate solutions</t>
        </is>
      </c>
      <c r="Q778" t="inlineStr">
        <is>
          <t>Not Found</t>
        </is>
      </c>
    </row>
    <row r="779">
      <c r="A779" t="inlineStr">
        <is>
          <t>60796dfedf99ca00019a24d0</t>
        </is>
      </c>
      <c r="B779" t="inlineStr">
        <is>
          <t>Marc Howorth</t>
        </is>
      </c>
      <c r="C779">
        <f>HYPERLINK("http://www.linkedin.com/in/marc-howorth-63263944")</f>
        <v/>
      </c>
      <c r="D779" t="inlineStr">
        <is>
          <t>Not Found</t>
        </is>
      </c>
      <c r="E779" t="inlineStr">
        <is>
          <t>Account Director</t>
        </is>
      </c>
      <c r="F779">
        <f>HYPERLINK("https://app.apollo.io/#/people/60796dfedf99ca00019a24d0")</f>
        <v/>
      </c>
      <c r="G779" t="inlineStr">
        <is>
          <t>CBRE Global Workplace Solutions (GWS)</t>
        </is>
      </c>
      <c r="H779">
        <f>HYPERLINK("https://app.apollo.io/#/accounts/6509fed6f449800001b69a15")</f>
        <v/>
      </c>
      <c r="I779">
        <f>HYPERLINK("http://www.coor.com/")</f>
        <v/>
      </c>
      <c r="J779">
        <f>HYPERLINK("http://www.linkedin.com/company/cbre-gws")</f>
        <v/>
      </c>
      <c r="K779">
        <f>HYPERLINK("Not Found")</f>
        <v/>
      </c>
      <c r="L779">
        <f>HYPERLINK("Not Found")</f>
        <v/>
      </c>
      <c r="M779" t="inlineStr">
        <is>
          <t>London, United Kingdom</t>
        </is>
      </c>
      <c r="N779" t="inlineStr">
        <is>
          <t>15,000</t>
        </is>
      </c>
      <c r="O779" t="inlineStr">
        <is>
          <t>Commercial Real Estate</t>
        </is>
      </c>
      <c r="P779" t="inlineStr">
        <is>
          <t>project management,advisory,transaction services</t>
        </is>
      </c>
      <c r="Q779" t="inlineStr">
        <is>
          <t>Not Found</t>
        </is>
      </c>
    </row>
    <row r="780">
      <c r="A780" t="inlineStr">
        <is>
          <t>57df3bfea6da980ac6bbb314</t>
        </is>
      </c>
      <c r="B780" t="inlineStr">
        <is>
          <t>Neil Grundy</t>
        </is>
      </c>
      <c r="C780">
        <f>HYPERLINK("http://www.linkedin.com/in/neil-grundy-205b9b18")</f>
        <v/>
      </c>
      <c r="D780" t="inlineStr">
        <is>
          <t>Not Found</t>
        </is>
      </c>
      <c r="E780" t="inlineStr">
        <is>
          <t>Associate Director</t>
        </is>
      </c>
      <c r="F780">
        <f>HYPERLINK("https://app.apollo.io/#/people/57df3bfea6da980ac6bbb314")</f>
        <v/>
      </c>
      <c r="G780" t="inlineStr">
        <is>
          <t>Colliers</t>
        </is>
      </c>
      <c r="H780">
        <f>HYPERLINK("https://app.apollo.io/#/accounts/64aaf6c63d556a0001e8eda6")</f>
        <v/>
      </c>
      <c r="I780">
        <f>HYPERLINK("http://www.colliers.com/")</f>
        <v/>
      </c>
      <c r="J780">
        <f>HYPERLINK("http://www.linkedin.com/company/colliers")</f>
        <v/>
      </c>
      <c r="K780">
        <f>HYPERLINK("https://twitter.com/Colliers")</f>
        <v/>
      </c>
      <c r="L780">
        <f>HYPERLINK("https://facebook.com/colliersinternational/")</f>
        <v/>
      </c>
      <c r="M780" t="inlineStr">
        <is>
          <t>Liverpool, United Kingdom</t>
        </is>
      </c>
      <c r="N780" t="inlineStr">
        <is>
          <t>25,000</t>
        </is>
      </c>
      <c r="O780" t="inlineStr">
        <is>
          <t>Commercial Real Estate</t>
        </is>
      </c>
      <c r="P780" t="inlineStr">
        <is>
          <t>brokerage &amp; agency,corporate solutions</t>
        </is>
      </c>
      <c r="Q780" t="inlineStr">
        <is>
          <t>Not Found</t>
        </is>
      </c>
    </row>
    <row r="781">
      <c r="A781" t="inlineStr">
        <is>
          <t>54a4cdad74686938ac31f564</t>
        </is>
      </c>
      <c r="B781" t="inlineStr">
        <is>
          <t>Hamish Peters</t>
        </is>
      </c>
      <c r="C781">
        <f>HYPERLINK("http://www.linkedin.com/in/hamish-peters-43176bb")</f>
        <v/>
      </c>
      <c r="D781" t="inlineStr">
        <is>
          <t>Not Found</t>
        </is>
      </c>
      <c r="E781" t="inlineStr">
        <is>
          <t>AVL Director</t>
        </is>
      </c>
      <c r="F781">
        <f>HYPERLINK("https://app.apollo.io/#/people/54a4cdad74686938ac31f564")</f>
        <v/>
      </c>
      <c r="G781" t="inlineStr">
        <is>
          <t>Alternative Venues London</t>
        </is>
      </c>
      <c r="H781">
        <f>HYPERLINK("https://app.apollo.io/#/organizations/57c5070ba6da986aa0d456d1")</f>
        <v/>
      </c>
      <c r="I781">
        <f>HYPERLINK("http://www.alternativevenues.co.uk/")</f>
        <v/>
      </c>
      <c r="J781">
        <f>HYPERLINK("http://www.linkedin.com/company/alternative-venues-london")</f>
        <v/>
      </c>
      <c r="K781">
        <f>HYPERLINK("https://twitter.com/altvenueslondon")</f>
        <v/>
      </c>
      <c r="L781">
        <f>HYPERLINK("https://www.facebook.com/AlternativeVenuesLondon/")</f>
        <v/>
      </c>
      <c r="M781" t="inlineStr">
        <is>
          <t>Reading, United Kingdom</t>
        </is>
      </c>
      <c r="N781" t="inlineStr">
        <is>
          <t>5</t>
        </is>
      </c>
      <c r="O781" t="inlineStr">
        <is>
          <t>Commercial Real Estate</t>
        </is>
      </c>
      <c r="P781" t="inlineStr">
        <is>
          <t>military venues,corporate event spaces,commercial lettings</t>
        </is>
      </c>
      <c r="Q781" t="inlineStr">
        <is>
          <t>Not Found</t>
        </is>
      </c>
    </row>
    <row r="782">
      <c r="A782" t="inlineStr">
        <is>
          <t>5e780a1c323688000192a97e</t>
        </is>
      </c>
      <c r="B782" t="inlineStr">
        <is>
          <t>Lorna Evans</t>
        </is>
      </c>
      <c r="C782">
        <f>HYPERLINK("http://www.linkedin.com/in/lorna-evans-b3707193")</f>
        <v/>
      </c>
      <c r="D782" t="inlineStr">
        <is>
          <t>Not Found</t>
        </is>
      </c>
      <c r="E782" t="inlineStr">
        <is>
          <t>Associate Director</t>
        </is>
      </c>
      <c r="F782">
        <f>HYPERLINK("https://app.apollo.io/#/people/5e780a1c323688000192a97e")</f>
        <v/>
      </c>
      <c r="G782" t="inlineStr">
        <is>
          <t>Colliers</t>
        </is>
      </c>
      <c r="H782">
        <f>HYPERLINK("https://app.apollo.io/#/accounts/6578c2e248f92e02cc97a7cd")</f>
        <v/>
      </c>
      <c r="I782">
        <f>HYPERLINK("http://www.colliers.com/")</f>
        <v/>
      </c>
      <c r="J782">
        <f>HYPERLINK("http://www.linkedin.com/company/colliers")</f>
        <v/>
      </c>
      <c r="K782">
        <f>HYPERLINK("https://twitter.com/collierscanada")</f>
        <v/>
      </c>
      <c r="L782">
        <f>HYPERLINK("Not Found")</f>
        <v/>
      </c>
      <c r="M782" t="inlineStr">
        <is>
          <t>Glasgow, United Kingdom</t>
        </is>
      </c>
      <c r="N782" t="inlineStr">
        <is>
          <t>25,000</t>
        </is>
      </c>
      <c r="O782" t="inlineStr">
        <is>
          <t>Commercial Real Estate</t>
        </is>
      </c>
      <c r="P782" t="inlineStr">
        <is>
          <t>brokerage &amp; agency,corporate solutions</t>
        </is>
      </c>
      <c r="Q782" t="inlineStr">
        <is>
          <t>Not Found</t>
        </is>
      </c>
    </row>
    <row r="783">
      <c r="A783" t="inlineStr">
        <is>
          <t>54a6146e74686938ac9491c0</t>
        </is>
      </c>
      <c r="B783" t="inlineStr">
        <is>
          <t>Tim Muir-Rolfe</t>
        </is>
      </c>
      <c r="C783">
        <f>HYPERLINK("http://www.linkedin.com/in/tim-muir-rolfe-a113893a")</f>
        <v/>
      </c>
      <c r="D783" t="inlineStr">
        <is>
          <t>Not Found</t>
        </is>
      </c>
      <c r="E783" t="inlineStr">
        <is>
          <t>Associate Director</t>
        </is>
      </c>
      <c r="F783">
        <f>HYPERLINK("https://app.apollo.io/#/people/54a6146e74686938ac9491c0")</f>
        <v/>
      </c>
      <c r="G783" t="inlineStr">
        <is>
          <t>Hazelvine Limited</t>
        </is>
      </c>
      <c r="H783">
        <f>HYPERLINK("https://app.apollo.io/#/organizations/5b84e4ff324d4472631f5496")</f>
        <v/>
      </c>
      <c r="I783">
        <f>HYPERLINK("http://www.hazelvine.com/")</f>
        <v/>
      </c>
      <c r="J783">
        <f>HYPERLINK("http://www.linkedin.com/company/hazelvine-limited-qdime")</f>
        <v/>
      </c>
      <c r="K783">
        <f>HYPERLINK("Not Found")</f>
        <v/>
      </c>
      <c r="L783">
        <f>HYPERLINK("Not Found")</f>
        <v/>
      </c>
      <c r="M783" t="inlineStr">
        <is>
          <t>Luton, United Kingdom</t>
        </is>
      </c>
      <c r="N783" t="inlineStr">
        <is>
          <t>27</t>
        </is>
      </c>
      <c r="O783" t="inlineStr">
        <is>
          <t>Commercial Real Estate</t>
        </is>
      </c>
      <c r="P783" t="inlineStr">
        <is>
          <t>insurance management,legal services,advice</t>
        </is>
      </c>
      <c r="Q783" t="inlineStr">
        <is>
          <t>Not Found</t>
        </is>
      </c>
    </row>
    <row r="784">
      <c r="A784" t="inlineStr">
        <is>
          <t>5d4b8750f651250c23b59775</t>
        </is>
      </c>
      <c r="B784" t="inlineStr">
        <is>
          <t>Matilda Elezi</t>
        </is>
      </c>
      <c r="C784">
        <f>HYPERLINK("http://www.linkedin.com/in/matilda-elezi-75b313163")</f>
        <v/>
      </c>
      <c r="D784" t="inlineStr">
        <is>
          <t>Not Found</t>
        </is>
      </c>
      <c r="E784" t="inlineStr">
        <is>
          <t>Financial Director</t>
        </is>
      </c>
      <c r="F784">
        <f>HYPERLINK("https://app.apollo.io/#/people/5d4b8750f651250c23b59775")</f>
        <v/>
      </c>
      <c r="G784" t="inlineStr">
        <is>
          <t>CBRE Global Workplace Solutions (GWS)</t>
        </is>
      </c>
      <c r="H784">
        <f>HYPERLINK("https://app.apollo.io/#/accounts/6509fed6f449800001b69a15")</f>
        <v/>
      </c>
      <c r="I784">
        <f>HYPERLINK("http://www.coor.com/")</f>
        <v/>
      </c>
      <c r="J784">
        <f>HYPERLINK("http://www.linkedin.com/company/cbre-gws")</f>
        <v/>
      </c>
      <c r="K784">
        <f>HYPERLINK("Not Found")</f>
        <v/>
      </c>
      <c r="L784">
        <f>HYPERLINK("Not Found")</f>
        <v/>
      </c>
      <c r="M784" t="inlineStr">
        <is>
          <t>Reading, United Kingdom</t>
        </is>
      </c>
      <c r="N784" t="inlineStr">
        <is>
          <t>15,000</t>
        </is>
      </c>
      <c r="O784" t="inlineStr">
        <is>
          <t>Commercial Real Estate</t>
        </is>
      </c>
      <c r="P784" t="inlineStr">
        <is>
          <t>project management,advisory,transaction services</t>
        </is>
      </c>
      <c r="Q784" t="inlineStr">
        <is>
          <t>Not Found</t>
        </is>
      </c>
    </row>
    <row r="785">
      <c r="A785" t="inlineStr">
        <is>
          <t>57d8cbb5a6da98725ad561f3</t>
        </is>
      </c>
      <c r="B785" t="inlineStr">
        <is>
          <t>David Freeland</t>
        </is>
      </c>
      <c r="C785">
        <f>HYPERLINK("http://www.linkedin.com/in/david-freeland-7373524b")</f>
        <v/>
      </c>
      <c r="D785" t="inlineStr">
        <is>
          <t>Not Found</t>
        </is>
      </c>
      <c r="E785" t="inlineStr">
        <is>
          <t>Associate Director</t>
        </is>
      </c>
      <c r="F785">
        <f>HYPERLINK("https://app.apollo.io/#/people/57d8cbb5a6da98725ad561f3")</f>
        <v/>
      </c>
      <c r="G785" t="inlineStr">
        <is>
          <t>Colliers</t>
        </is>
      </c>
      <c r="H785">
        <f>HYPERLINK("https://app.apollo.io/#/accounts/64aaf6c63d556a0001e8eda6")</f>
        <v/>
      </c>
      <c r="I785">
        <f>HYPERLINK("http://www.colliers.com/")</f>
        <v/>
      </c>
      <c r="J785">
        <f>HYPERLINK("http://www.linkedin.com/company/colliers")</f>
        <v/>
      </c>
      <c r="K785">
        <f>HYPERLINK("https://twitter.com/Colliers")</f>
        <v/>
      </c>
      <c r="L785">
        <f>HYPERLINK("https://facebook.com/colliersinternational/")</f>
        <v/>
      </c>
      <c r="M785" t="inlineStr">
        <is>
          <t>London, United Kingdom</t>
        </is>
      </c>
      <c r="N785" t="inlineStr">
        <is>
          <t>25,000</t>
        </is>
      </c>
      <c r="O785" t="inlineStr">
        <is>
          <t>Commercial Real Estate</t>
        </is>
      </c>
      <c r="P785" t="inlineStr">
        <is>
          <t>brokerage &amp; agency,corporate solutions</t>
        </is>
      </c>
      <c r="Q785" t="inlineStr">
        <is>
          <t>Not Found</t>
        </is>
      </c>
    </row>
    <row r="786">
      <c r="A786" t="inlineStr">
        <is>
          <t>57dbf48ba6da986883977c3e</t>
        </is>
      </c>
      <c r="B786" t="inlineStr">
        <is>
          <t>Timothy Alix</t>
        </is>
      </c>
      <c r="C786">
        <f>HYPERLINK("http://www.linkedin.com/in/timothy-alix-5313a110a")</f>
        <v/>
      </c>
      <c r="D786" t="inlineStr">
        <is>
          <t>Not Found</t>
        </is>
      </c>
      <c r="E786" t="inlineStr">
        <is>
          <t>Associate Director</t>
        </is>
      </c>
      <c r="F786">
        <f>HYPERLINK("https://app.apollo.io/#/people/57dbf48ba6da986883977c3e")</f>
        <v/>
      </c>
      <c r="G786" t="inlineStr">
        <is>
          <t>Colliers</t>
        </is>
      </c>
      <c r="H786">
        <f>HYPERLINK("https://app.apollo.io/#/accounts/64aaf6c63d556a0001e8eda6")</f>
        <v/>
      </c>
      <c r="I786">
        <f>HYPERLINK("http://www.colliers.com/")</f>
        <v/>
      </c>
      <c r="J786">
        <f>HYPERLINK("http://www.linkedin.com/company/colliers")</f>
        <v/>
      </c>
      <c r="K786">
        <f>HYPERLINK("https://twitter.com/Colliers")</f>
        <v/>
      </c>
      <c r="L786">
        <f>HYPERLINK("https://facebook.com/colliersinternational/")</f>
        <v/>
      </c>
      <c r="M786" t="inlineStr">
        <is>
          <t>London, United Kingdom</t>
        </is>
      </c>
      <c r="N786" t="inlineStr">
        <is>
          <t>25,000</t>
        </is>
      </c>
      <c r="O786" t="inlineStr">
        <is>
          <t>Commercial Real Estate</t>
        </is>
      </c>
      <c r="P786" t="inlineStr">
        <is>
          <t>brokerage &amp; agency,corporate solutions</t>
        </is>
      </c>
      <c r="Q786" t="inlineStr">
        <is>
          <t>Not Found</t>
        </is>
      </c>
    </row>
    <row r="787">
      <c r="A787" t="inlineStr">
        <is>
          <t>62ea9783a2815c0001780e34</t>
        </is>
      </c>
      <c r="B787" t="inlineStr">
        <is>
          <t>David Hadley</t>
        </is>
      </c>
      <c r="C787">
        <f>HYPERLINK("http://www.linkedin.com/in/david-hadley-950b9995")</f>
        <v/>
      </c>
      <c r="D787" t="inlineStr">
        <is>
          <t>Not Found</t>
        </is>
      </c>
      <c r="E787" t="inlineStr">
        <is>
          <t>Associate Director</t>
        </is>
      </c>
      <c r="F787">
        <f>HYPERLINK("https://app.apollo.io/#/people/62ea9783a2815c0001780e34")</f>
        <v/>
      </c>
      <c r="G787" t="inlineStr">
        <is>
          <t>Colliers</t>
        </is>
      </c>
      <c r="H787">
        <f>HYPERLINK("https://app.apollo.io/#/accounts/64aaf6c63d556a0001e8eda6")</f>
        <v/>
      </c>
      <c r="I787">
        <f>HYPERLINK("http://www.colliers.com/")</f>
        <v/>
      </c>
      <c r="J787">
        <f>HYPERLINK("http://www.linkedin.com/company/colliers")</f>
        <v/>
      </c>
      <c r="K787">
        <f>HYPERLINK("https://twitter.com/Colliers")</f>
        <v/>
      </c>
      <c r="L787">
        <f>HYPERLINK("https://facebook.com/colliersinternational/")</f>
        <v/>
      </c>
      <c r="M787" t="inlineStr">
        <is>
          <t>Birmingham, United Kingdom</t>
        </is>
      </c>
      <c r="N787" t="inlineStr">
        <is>
          <t>25,000</t>
        </is>
      </c>
      <c r="O787" t="inlineStr">
        <is>
          <t>Commercial Real Estate</t>
        </is>
      </c>
      <c r="P787" t="inlineStr">
        <is>
          <t>brokerage &amp; agency,corporate solutions</t>
        </is>
      </c>
      <c r="Q787" t="inlineStr">
        <is>
          <t>Not Found</t>
        </is>
      </c>
    </row>
    <row r="788">
      <c r="A788" t="inlineStr">
        <is>
          <t>5e8e55d5a960c4000132eb15</t>
        </is>
      </c>
      <c r="B788" t="inlineStr">
        <is>
          <t>Michael Jones</t>
        </is>
      </c>
      <c r="C788">
        <f>HYPERLINK("http://www.linkedin.com/in/michael-jones-76670b151")</f>
        <v/>
      </c>
      <c r="D788" t="inlineStr">
        <is>
          <t>Not Found</t>
        </is>
      </c>
      <c r="E788" t="inlineStr">
        <is>
          <t>Commercial Director</t>
        </is>
      </c>
      <c r="F788">
        <f>HYPERLINK("https://app.apollo.io/#/people/5e8e55d5a960c4000132eb15")</f>
        <v/>
      </c>
      <c r="G788" t="inlineStr">
        <is>
          <t>CBRE Global Workplace Solutions (GWS)</t>
        </is>
      </c>
      <c r="H788">
        <f>HYPERLINK("https://app.apollo.io/#/accounts/6509fed6f449800001b69a15")</f>
        <v/>
      </c>
      <c r="I788">
        <f>HYPERLINK("http://www.coor.com/")</f>
        <v/>
      </c>
      <c r="J788">
        <f>HYPERLINK("http://www.linkedin.com/company/cbre-gws")</f>
        <v/>
      </c>
      <c r="K788">
        <f>HYPERLINK("Not Found")</f>
        <v/>
      </c>
      <c r="L788">
        <f>HYPERLINK("Not Found")</f>
        <v/>
      </c>
      <c r="M788" t="inlineStr">
        <is>
          <t>Newbold on Stour, United Kingdom</t>
        </is>
      </c>
      <c r="N788" t="inlineStr">
        <is>
          <t>15,000</t>
        </is>
      </c>
      <c r="O788" t="inlineStr">
        <is>
          <t>Commercial Real Estate</t>
        </is>
      </c>
      <c r="P788" t="inlineStr">
        <is>
          <t>project management,advisory,transaction services</t>
        </is>
      </c>
      <c r="Q788" t="inlineStr">
        <is>
          <t>Not Found</t>
        </is>
      </c>
    </row>
    <row r="789">
      <c r="A789" t="inlineStr">
        <is>
          <t>57e02006a6da980b53e41ede</t>
        </is>
      </c>
      <c r="B789" t="inlineStr">
        <is>
          <t>John Dobos</t>
        </is>
      </c>
      <c r="C789">
        <f>HYPERLINK("http://www.linkedin.com/in/john-dobos-43783b102")</f>
        <v/>
      </c>
      <c r="D789" t="inlineStr">
        <is>
          <t>Not Found</t>
        </is>
      </c>
      <c r="E789" t="inlineStr">
        <is>
          <t>Contracts Director</t>
        </is>
      </c>
      <c r="F789">
        <f>HYPERLINK("https://app.apollo.io/#/people/57e02006a6da980b53e41ede")</f>
        <v/>
      </c>
      <c r="G789" t="inlineStr">
        <is>
          <t>Daval Construction Ltd.</t>
        </is>
      </c>
      <c r="H789">
        <f>HYPERLINK("https://app.apollo.io/#/accounts/6578c29b48f92e01ae97b9b2")</f>
        <v/>
      </c>
      <c r="I789">
        <f>HYPERLINK("http://www.daval-construct.com/")</f>
        <v/>
      </c>
      <c r="J789">
        <f>HYPERLINK("http://www.linkedin.com/company/davalconstruction")</f>
        <v/>
      </c>
      <c r="K789">
        <f>HYPERLINK("Not Found")</f>
        <v/>
      </c>
      <c r="L789">
        <f>HYPERLINK("Not Found")</f>
        <v/>
      </c>
      <c r="M789" t="inlineStr">
        <is>
          <t>Watford, United Kingdom</t>
        </is>
      </c>
      <c r="N789" t="inlineStr">
        <is>
          <t>17</t>
        </is>
      </c>
      <c r="O789" t="inlineStr">
        <is>
          <t>Commercial Real Estate</t>
        </is>
      </c>
      <c r="Q789" t="inlineStr">
        <is>
          <t>Not Found</t>
        </is>
      </c>
    </row>
    <row r="790">
      <c r="A790" t="inlineStr">
        <is>
          <t>62e24ae4b8984f0001c70cdf</t>
        </is>
      </c>
      <c r="B790" t="inlineStr">
        <is>
          <t>Mike Merwin</t>
        </is>
      </c>
      <c r="C790">
        <f>HYPERLINK("http://www.linkedin.com/in/mike-merwin-0b294b195")</f>
        <v/>
      </c>
      <c r="D790" t="inlineStr">
        <is>
          <t>Not Found</t>
        </is>
      </c>
      <c r="E790" t="inlineStr">
        <is>
          <t>Divisional Director</t>
        </is>
      </c>
      <c r="F790">
        <f>HYPERLINK("https://app.apollo.io/#/people/62e24ae4b8984f0001c70cdf")</f>
        <v/>
      </c>
      <c r="G790" t="inlineStr">
        <is>
          <t>Go Plant Fleet Services Ltd</t>
        </is>
      </c>
      <c r="H790">
        <f>HYPERLINK("https://app.apollo.io/#/accounts/6578aea803912001ae665add")</f>
        <v/>
      </c>
      <c r="I790">
        <f>HYPERLINK("http://www.go-plant.co.uk/")</f>
        <v/>
      </c>
      <c r="J790">
        <f>HYPERLINK("http://www.linkedin.com/company/go-plant-fleet-services-ltd")</f>
        <v/>
      </c>
      <c r="K790">
        <f>HYPERLINK("Not Found")</f>
        <v/>
      </c>
      <c r="L790">
        <f>HYPERLINK("https://www.facebook.com/GoPlantFleetServices/")</f>
        <v/>
      </c>
      <c r="M790" t="inlineStr">
        <is>
          <t>England, United Kingdom</t>
        </is>
      </c>
      <c r="N790" t="inlineStr">
        <is>
          <t>220</t>
        </is>
      </c>
      <c r="O790" t="inlineStr">
        <is>
          <t>Commercial Real Estate</t>
        </is>
      </c>
      <c r="P790" t="inlineStr">
        <is>
          <t>fleet management &amp; maintenance,extensive fleet operating knowledge</t>
        </is>
      </c>
      <c r="Q790" t="inlineStr">
        <is>
          <t>Not Found</t>
        </is>
      </c>
    </row>
    <row r="791">
      <c r="A791" t="inlineStr">
        <is>
          <t>57d9c6aba6da9801455074b4</t>
        </is>
      </c>
      <c r="B791" t="inlineStr">
        <is>
          <t>Vincent Taylor</t>
        </is>
      </c>
      <c r="C791">
        <f>HYPERLINK("http://www.linkedin.com/in/vincent-taylor-bb913666")</f>
        <v/>
      </c>
      <c r="D791" t="inlineStr">
        <is>
          <t>Not Found</t>
        </is>
      </c>
      <c r="E791" t="inlineStr">
        <is>
          <t>Executive Director</t>
        </is>
      </c>
      <c r="F791">
        <f>HYPERLINK("https://app.apollo.io/#/people/57d9c6aba6da9801455074b4")</f>
        <v/>
      </c>
      <c r="G791" t="inlineStr">
        <is>
          <t>DohertyBaines</t>
        </is>
      </c>
      <c r="H791">
        <f>HYPERLINK("https://app.apollo.io/#/accounts/6578bfe2bd906602ccfd8569")</f>
        <v/>
      </c>
      <c r="I791">
        <f>HYPERLINK("http://www.dohertybaines.com/")</f>
        <v/>
      </c>
      <c r="J791">
        <f>HYPERLINK("http://www.linkedin.com/company/dohertybaines")</f>
        <v/>
      </c>
      <c r="K791">
        <f>HYPERLINK("https://twitter.com/dohertybaines")</f>
        <v/>
      </c>
      <c r="L791">
        <f>HYPERLINK("Not Found")</f>
        <v/>
      </c>
      <c r="M791" t="inlineStr">
        <is>
          <t>London, United Kingdom</t>
        </is>
      </c>
      <c r="N791" t="inlineStr">
        <is>
          <t>15</t>
        </is>
      </c>
      <c r="O791" t="inlineStr">
        <is>
          <t>Commercial Real Estate</t>
        </is>
      </c>
      <c r="P791" t="inlineStr">
        <is>
          <t>real estate advisory,industrial agency,office agency</t>
        </is>
      </c>
      <c r="Q791" t="inlineStr">
        <is>
          <t>Not Found</t>
        </is>
      </c>
    </row>
    <row r="792">
      <c r="A792" t="inlineStr">
        <is>
          <t>5d7225a4f6512569eb030548</t>
        </is>
      </c>
      <c r="B792" t="inlineStr">
        <is>
          <t>Lily Wong</t>
        </is>
      </c>
      <c r="C792">
        <f>HYPERLINK("http://www.linkedin.com/in/lily-wong-a6572112a")</f>
        <v/>
      </c>
      <c r="D792" t="inlineStr">
        <is>
          <t>Not Found</t>
        </is>
      </c>
      <c r="E792" t="inlineStr">
        <is>
          <t>Associate Director</t>
        </is>
      </c>
      <c r="F792">
        <f>HYPERLINK("https://app.apollo.io/#/people/5d7225a4f6512569eb030548")</f>
        <v/>
      </c>
      <c r="G792" t="inlineStr">
        <is>
          <t>Colliers</t>
        </is>
      </c>
      <c r="H792">
        <f>HYPERLINK("https://app.apollo.io/#/accounts/64aaf6c63d556a0001e8eda6")</f>
        <v/>
      </c>
      <c r="I792">
        <f>HYPERLINK("http://www.colliers.com/")</f>
        <v/>
      </c>
      <c r="J792">
        <f>HYPERLINK("http://www.linkedin.com/company/colliers")</f>
        <v/>
      </c>
      <c r="K792">
        <f>HYPERLINK("https://twitter.com/Colliers")</f>
        <v/>
      </c>
      <c r="L792">
        <f>HYPERLINK("https://facebook.com/colliersinternational/")</f>
        <v/>
      </c>
      <c r="M792" t="inlineStr">
        <is>
          <t>Bradford, United Kingdom</t>
        </is>
      </c>
      <c r="N792" t="inlineStr">
        <is>
          <t>25,000</t>
        </is>
      </c>
      <c r="O792" t="inlineStr">
        <is>
          <t>Commercial Real Estate</t>
        </is>
      </c>
      <c r="P792" t="inlineStr">
        <is>
          <t>brokerage &amp; agency,corporate solutions</t>
        </is>
      </c>
      <c r="Q792" t="inlineStr">
        <is>
          <t>Not Found</t>
        </is>
      </c>
    </row>
    <row r="793">
      <c r="A793" t="inlineStr">
        <is>
          <t>6118e09c4958280001de72d7</t>
        </is>
      </c>
      <c r="B793" t="inlineStr">
        <is>
          <t>Stuart O?Brien</t>
        </is>
      </c>
      <c r="C793">
        <f>HYPERLINK("http://www.linkedin.com/in/stuart-o%e2%80%99brien-8b9411183")</f>
        <v/>
      </c>
      <c r="D793" t="inlineStr">
        <is>
          <t>Not Found</t>
        </is>
      </c>
      <c r="E793" t="inlineStr">
        <is>
          <t>Managing Director</t>
        </is>
      </c>
      <c r="F793">
        <f>HYPERLINK("https://app.apollo.io/#/people/6118e09c4958280001de72d7")</f>
        <v/>
      </c>
      <c r="G793" t="inlineStr">
        <is>
          <t>H &amp; O'B BUILDING LTD</t>
        </is>
      </c>
      <c r="H793">
        <f>HYPERLINK("https://app.apollo.io/#/organizations/6319041260f0a80001243eb7")</f>
        <v/>
      </c>
      <c r="I793">
        <f>HYPERLINK("Not Found")</f>
        <v/>
      </c>
      <c r="J793">
        <f>HYPERLINK("http://www.linkedin.com/company/h-&amp;-o'b-building-ltd")</f>
        <v/>
      </c>
      <c r="K793">
        <f>HYPERLINK("Not Found")</f>
        <v/>
      </c>
      <c r="L793">
        <f>HYPERLINK("Not Found")</f>
        <v/>
      </c>
      <c r="M793" t="inlineStr">
        <is>
          <t>Oxford, United Kingdom</t>
        </is>
      </c>
      <c r="N793" t="inlineStr">
        <is>
          <t>1</t>
        </is>
      </c>
      <c r="O793" t="inlineStr">
        <is>
          <t>Commercial Real Estate</t>
        </is>
      </c>
      <c r="Q793" t="inlineStr">
        <is>
          <t>Not Found</t>
        </is>
      </c>
    </row>
    <row r="794">
      <c r="A794" t="inlineStr">
        <is>
          <t>5a015fa3a6da9827d877d179</t>
        </is>
      </c>
      <c r="B794" t="inlineStr">
        <is>
          <t>Neil Thomson</t>
        </is>
      </c>
      <c r="C794">
        <f>HYPERLINK("http://www.linkedin.com/in/neil-thomson-041b5852")</f>
        <v/>
      </c>
      <c r="D794" t="inlineStr">
        <is>
          <t>Not Found</t>
        </is>
      </c>
      <c r="E794" t="inlineStr">
        <is>
          <t>Associate Director</t>
        </is>
      </c>
      <c r="F794">
        <f>HYPERLINK("https://app.apollo.io/#/people/5a015fa3a6da9827d877d179")</f>
        <v/>
      </c>
      <c r="G794" t="inlineStr">
        <is>
          <t>Colliers</t>
        </is>
      </c>
      <c r="H794">
        <f>HYPERLINK("https://app.apollo.io/#/accounts/64aaf6c63d556a0001e8eda6")</f>
        <v/>
      </c>
      <c r="I794">
        <f>HYPERLINK("http://www.colliers.com/")</f>
        <v/>
      </c>
      <c r="J794">
        <f>HYPERLINK("http://www.linkedin.com/company/colliers")</f>
        <v/>
      </c>
      <c r="K794">
        <f>HYPERLINK("https://twitter.com/Colliers")</f>
        <v/>
      </c>
      <c r="L794">
        <f>HYPERLINK("https://facebook.com/colliersinternational/")</f>
        <v/>
      </c>
      <c r="M794" t="inlineStr">
        <is>
          <t>Manchester, United Kingdom</t>
        </is>
      </c>
      <c r="N794" t="inlineStr">
        <is>
          <t>25,000</t>
        </is>
      </c>
      <c r="O794" t="inlineStr">
        <is>
          <t>Commercial Real Estate</t>
        </is>
      </c>
      <c r="P794" t="inlineStr">
        <is>
          <t>brokerage &amp; agency,corporate solutions</t>
        </is>
      </c>
      <c r="Q794" t="inlineStr">
        <is>
          <t>Not Found</t>
        </is>
      </c>
    </row>
    <row r="795">
      <c r="A795" t="inlineStr">
        <is>
          <t>606c7ee4547c830001b38506</t>
        </is>
      </c>
      <c r="B795" t="inlineStr">
        <is>
          <t>Josh Gordon</t>
        </is>
      </c>
      <c r="C795">
        <f>HYPERLINK("http://www.linkedin.com/in/josh-gordon-902100198")</f>
        <v/>
      </c>
      <c r="D795" t="inlineStr">
        <is>
          <t>Not Found</t>
        </is>
      </c>
      <c r="E795" t="inlineStr">
        <is>
          <t>Client Development Director</t>
        </is>
      </c>
      <c r="F795">
        <f>HYPERLINK("https://app.apollo.io/#/people/606c7ee4547c830001b38506")</f>
        <v/>
      </c>
      <c r="G795" t="inlineStr">
        <is>
          <t>Found</t>
        </is>
      </c>
      <c r="H795">
        <f>HYPERLINK("https://app.apollo.io/#/accounts/6578c01a1823b2051e2f088f")</f>
        <v/>
      </c>
      <c r="I795">
        <f>HYPERLINK("http://www.foundthespace.com/")</f>
        <v/>
      </c>
      <c r="J795">
        <f>HYPERLINK("http://www.linkedin.com/company/foundthespace")</f>
        <v/>
      </c>
      <c r="K795">
        <f>HYPERLINK("Not Found")</f>
        <v/>
      </c>
      <c r="L795">
        <f>HYPERLINK("https://www.facebook.com/Foundthespace/")</f>
        <v/>
      </c>
      <c r="M795" t="inlineStr">
        <is>
          <t>London, United Kingdom</t>
        </is>
      </c>
      <c r="N795" t="inlineStr">
        <is>
          <t>7</t>
        </is>
      </c>
      <c r="O795" t="inlineStr">
        <is>
          <t>Commercial Real Estate</t>
        </is>
      </c>
      <c r="P795" t="inlineStr">
        <is>
          <t>flex space,commercial real estate,consultancy</t>
        </is>
      </c>
      <c r="Q795" t="inlineStr">
        <is>
          <t>Not Found</t>
        </is>
      </c>
    </row>
    <row r="796">
      <c r="A796" t="inlineStr">
        <is>
          <t>54a19d8a74686942d3c30e02</t>
        </is>
      </c>
      <c r="B796" t="inlineStr">
        <is>
          <t>Stephen McDade</t>
        </is>
      </c>
      <c r="C796">
        <f>HYPERLINK("http://www.linkedin.com/in/stephen-mcdade-55319684")</f>
        <v/>
      </c>
      <c r="D796" t="inlineStr">
        <is>
          <t>Not Found</t>
        </is>
      </c>
      <c r="E796" t="inlineStr">
        <is>
          <t>Associate Director</t>
        </is>
      </c>
      <c r="F796">
        <f>HYPERLINK("https://app.apollo.io/#/people/54a19d8a74686942d3c30e02")</f>
        <v/>
      </c>
      <c r="G796" t="inlineStr">
        <is>
          <t>p3 Consulting</t>
        </is>
      </c>
      <c r="H796">
        <f>HYPERLINK("https://app.apollo.io/#/organizations/54a1298969702db648d09f01")</f>
        <v/>
      </c>
      <c r="I796">
        <f>HYPERLINK("http://www.p3-consulting.co.uk/")</f>
        <v/>
      </c>
      <c r="J796">
        <f>HYPERLINK("http://www.linkedin.com/company/p3-consulting")</f>
        <v/>
      </c>
      <c r="K796">
        <f>HYPERLINK("https://twitter.com/p3consult")</f>
        <v/>
      </c>
      <c r="L796">
        <f>HYPERLINK("Not Found")</f>
        <v/>
      </c>
      <c r="M796" t="inlineStr">
        <is>
          <t>Glasgow, United Kingdom</t>
        </is>
      </c>
      <c r="N796" t="inlineStr">
        <is>
          <t>5</t>
        </is>
      </c>
      <c r="O796" t="inlineStr">
        <is>
          <t>Commercial Real Estate</t>
        </is>
      </c>
      <c r="P796" t="inlineStr">
        <is>
          <t>building surveying,cost consultancy,project management</t>
        </is>
      </c>
      <c r="Q796" t="inlineStr">
        <is>
          <t>Not Found</t>
        </is>
      </c>
    </row>
    <row r="797">
      <c r="A797" t="inlineStr">
        <is>
          <t>6113fc8a6cf09e0001b5679c</t>
        </is>
      </c>
      <c r="B797" t="inlineStr">
        <is>
          <t>Salar Arya</t>
        </is>
      </c>
      <c r="C797">
        <f>HYPERLINK("http://www.linkedin.com/in/salar-arya-881b23182")</f>
        <v/>
      </c>
      <c r="D797" t="inlineStr">
        <is>
          <t>Not Found</t>
        </is>
      </c>
      <c r="E797" t="inlineStr">
        <is>
          <t>Managing Director</t>
        </is>
      </c>
      <c r="F797">
        <f>HYPERLINK("https://app.apollo.io/#/people/6113fc8a6cf09e0001b5679c")</f>
        <v/>
      </c>
      <c r="G797" t="inlineStr">
        <is>
          <t>Urbanize Homes</t>
        </is>
      </c>
      <c r="H797">
        <f>HYPERLINK("https://app.apollo.io/#/organizations/5da41f020f33d60001e3e50b")</f>
        <v/>
      </c>
      <c r="I797">
        <f>HYPERLINK("http://www.urbanizehomes.com/")</f>
        <v/>
      </c>
      <c r="J797">
        <f>HYPERLINK("http://www.linkedin.com/company/urbanize-homes")</f>
        <v/>
      </c>
      <c r="K797">
        <f>HYPERLINK("https://twitter.com/urbanizehomes")</f>
        <v/>
      </c>
      <c r="L797">
        <f>HYPERLINK("Not Found")</f>
        <v/>
      </c>
      <c r="M797" t="inlineStr">
        <is>
          <t>Warrington, United Kingdom</t>
        </is>
      </c>
      <c r="N797" t="inlineStr">
        <is>
          <t>50</t>
        </is>
      </c>
      <c r="O797" t="inlineStr">
        <is>
          <t>Commercial Real Estate</t>
        </is>
      </c>
      <c r="Q797" t="inlineStr">
        <is>
          <t>Not Found</t>
        </is>
      </c>
    </row>
    <row r="798">
      <c r="A798" t="inlineStr">
        <is>
          <t>54a31d867468693a7e6dd055</t>
        </is>
      </c>
      <c r="B798" t="inlineStr">
        <is>
          <t>Eamon Kennedy</t>
        </is>
      </c>
      <c r="C798">
        <f>HYPERLINK("http://www.linkedin.com/in/eamon-kennedy-a7590614")</f>
        <v/>
      </c>
      <c r="D798" t="inlineStr">
        <is>
          <t>Not Found</t>
        </is>
      </c>
      <c r="E798" t="inlineStr">
        <is>
          <t>Full Equity Partner - Head of Commercial Agnecy (Group)</t>
        </is>
      </c>
      <c r="F798">
        <f>HYPERLINK("https://app.apollo.io/#/people/54a31d867468693a7e6dd055")</f>
        <v/>
      </c>
      <c r="G798" t="inlineStr">
        <is>
          <t>Kirkby Diamond</t>
        </is>
      </c>
      <c r="H798">
        <f>HYPERLINK("https://app.apollo.io/#/accounts/6578c2611823b201ae2f30b8")</f>
        <v/>
      </c>
      <c r="I798">
        <f>HYPERLINK("http://www.kirkbydiamond.co.uk/")</f>
        <v/>
      </c>
      <c r="J798">
        <f>HYPERLINK("http://www.linkedin.com/company/kirkby-and-diamond")</f>
        <v/>
      </c>
      <c r="K798">
        <f>HYPERLINK("https://twitter.com/KirkbyDiamond")</f>
        <v/>
      </c>
      <c r="L798">
        <f>HYPERLINK("https://www.facebook.com/kirkbydiamond")</f>
        <v/>
      </c>
      <c r="M798" t="inlineStr">
        <is>
          <t>Luton, United Kingdom</t>
        </is>
      </c>
      <c r="N798" t="inlineStr">
        <is>
          <t>57</t>
        </is>
      </c>
      <c r="O798" t="inlineStr">
        <is>
          <t>Commercial Real Estate</t>
        </is>
      </c>
      <c r="P798" t="inlineStr">
        <is>
          <t>commercial property services,residential property services</t>
        </is>
      </c>
      <c r="Q798" t="inlineStr">
        <is>
          <t>Not Found</t>
        </is>
      </c>
    </row>
    <row r="799">
      <c r="A799" t="inlineStr">
        <is>
          <t>5f5bc09441892900010a45fa</t>
        </is>
      </c>
      <c r="B799" t="inlineStr">
        <is>
          <t>Robert Lane</t>
        </is>
      </c>
      <c r="C799">
        <f>HYPERLINK("http://www.linkedin.com/in/robert-lane-bb6544174")</f>
        <v/>
      </c>
      <c r="D799" t="inlineStr">
        <is>
          <t>Not Found</t>
        </is>
      </c>
      <c r="E799" t="inlineStr">
        <is>
          <t>Director Of Development</t>
        </is>
      </c>
      <c r="F799">
        <f>HYPERLINK("https://app.apollo.io/#/people/5f5bc09441892900010a45fa")</f>
        <v/>
      </c>
      <c r="G799" t="inlineStr">
        <is>
          <t>Premcor</t>
        </is>
      </c>
      <c r="H799">
        <f>HYPERLINK("https://app.apollo.io/#/organizations/5da6c9b64326c10001366abc")</f>
        <v/>
      </c>
      <c r="I799">
        <f>HYPERLINK("http://www.premcor.com/")</f>
        <v/>
      </c>
      <c r="J799">
        <f>HYPERLINK("http://www.linkedin.com/company/premcor-estates-ltd")</f>
        <v/>
      </c>
      <c r="K799">
        <f>HYPERLINK("Not Found")</f>
        <v/>
      </c>
      <c r="L799">
        <f>HYPERLINK("Not Found")</f>
        <v/>
      </c>
      <c r="M799" t="inlineStr">
        <is>
          <t>London, United Kingdom</t>
        </is>
      </c>
      <c r="N799" t="inlineStr">
        <is>
          <t>2</t>
        </is>
      </c>
      <c r="O799" t="inlineStr">
        <is>
          <t>Commercial Real Estate</t>
        </is>
      </c>
      <c r="P799" t="inlineStr">
        <is>
          <t>real estate,property development,commercial real estate</t>
        </is>
      </c>
      <c r="Q799" t="inlineStr">
        <is>
          <t>Not Found</t>
        </is>
      </c>
    </row>
    <row r="800">
      <c r="A800" t="inlineStr">
        <is>
          <t>6578c0501823b201ae2f2308</t>
        </is>
      </c>
      <c r="B800" t="inlineStr">
        <is>
          <t>Clare Doughty</t>
        </is>
      </c>
      <c r="C800">
        <f>HYPERLINK("http://www.linkedin.com/in/claredoughty")</f>
        <v/>
      </c>
      <c r="D800" t="inlineStr">
        <is>
          <t>Not Found</t>
        </is>
      </c>
      <c r="E800" t="inlineStr">
        <is>
          <t>Co-Founder</t>
        </is>
      </c>
      <c r="F800">
        <f>HYPERLINK("https://app.apollo.io/#/contacts/6578c0501823b201ae2f2308")</f>
        <v/>
      </c>
      <c r="G800" t="inlineStr">
        <is>
          <t>Madison Berkeley</t>
        </is>
      </c>
      <c r="H800">
        <f>HYPERLINK("https://app.apollo.io/#/accounts/6578c0501823b201ae2f230a")</f>
        <v/>
      </c>
      <c r="I800">
        <f>HYPERLINK("http://www.madisonberkeley.com/")</f>
        <v/>
      </c>
      <c r="J800">
        <f>HYPERLINK("http://www.linkedin.com/company/madison-berkeley")</f>
        <v/>
      </c>
      <c r="K800">
        <f>HYPERLINK("Not Found")</f>
        <v/>
      </c>
      <c r="L800">
        <f>HYPERLINK("Not Found")</f>
        <v/>
      </c>
      <c r="M800" t="inlineStr">
        <is>
          <t>London, United Kingdom</t>
        </is>
      </c>
      <c r="N800" t="inlineStr">
        <is>
          <t>8</t>
        </is>
      </c>
      <c r="O800" t="inlineStr">
        <is>
          <t>Commercial Real Estate</t>
        </is>
      </c>
      <c r="P800" t="inlineStr">
        <is>
          <t>real estate recruitment,property recruitment</t>
        </is>
      </c>
      <c r="Q800" t="inlineStr">
        <is>
          <t>+447814635058</t>
        </is>
      </c>
    </row>
    <row r="801">
      <c r="A801" t="inlineStr">
        <is>
          <t>6578c011bd906601aefd92f6</t>
        </is>
      </c>
      <c r="B801" t="inlineStr">
        <is>
          <t>Jerry Alexander</t>
        </is>
      </c>
      <c r="C801">
        <f>HYPERLINK("http://www.linkedin.com/in/jerryalexander")</f>
        <v/>
      </c>
      <c r="D801" t="inlineStr">
        <is>
          <t>Not Found</t>
        </is>
      </c>
      <c r="E801" t="inlineStr">
        <is>
          <t>Founder</t>
        </is>
      </c>
      <c r="F801">
        <f>HYPERLINK("https://app.apollo.io/#/contacts/6578c011bd906601aefd92f6")</f>
        <v/>
      </c>
      <c r="G801" t="inlineStr">
        <is>
          <t>Commercial Property Investor</t>
        </is>
      </c>
      <c r="H801">
        <f>HYPERLINK("https://app.apollo.io/#/accounts/6578c011bd906601aefd92f7")</f>
        <v/>
      </c>
      <c r="I801">
        <f>HYPERLINK("http://www.commercialpropertyinvestor.co.uk/")</f>
        <v/>
      </c>
      <c r="J801">
        <f>HYPERLINK("http://www.linkedin.com/company/commercial-property-investor")</f>
        <v/>
      </c>
      <c r="K801">
        <f>HYPERLINK("Not Found")</f>
        <v/>
      </c>
      <c r="L801">
        <f>HYPERLINK("Not Found")</f>
        <v/>
      </c>
      <c r="M801" t="inlineStr">
        <is>
          <t>Kinross, United Kingdom</t>
        </is>
      </c>
      <c r="N801" t="inlineStr">
        <is>
          <t>2</t>
        </is>
      </c>
      <c r="O801" t="inlineStr">
        <is>
          <t>Commercial Real Estate</t>
        </is>
      </c>
      <c r="P801" t="inlineStr">
        <is>
          <t>commercial property,property investing</t>
        </is>
      </c>
      <c r="Q801" t="inlineStr">
        <is>
          <t>Not Found</t>
        </is>
      </c>
    </row>
    <row r="802">
      <c r="A802" t="inlineStr">
        <is>
          <t>6578c015bd906601aefd9320</t>
        </is>
      </c>
      <c r="B802" t="inlineStr">
        <is>
          <t>Matthew Stott</t>
        </is>
      </c>
      <c r="C802">
        <f>HYPERLINK("http://www.linkedin.com/in/flexifymatt")</f>
        <v/>
      </c>
      <c r="D802" t="inlineStr">
        <is>
          <t>Not Found</t>
        </is>
      </c>
      <c r="E802" t="inlineStr">
        <is>
          <t>Founder</t>
        </is>
      </c>
      <c r="F802">
        <f>HYPERLINK("https://app.apollo.io/#/contacts/6578c015bd906601aefd9320")</f>
        <v/>
      </c>
      <c r="G802" t="inlineStr">
        <is>
          <t>Flexify</t>
        </is>
      </c>
      <c r="H802">
        <f>HYPERLINK("https://app.apollo.io/#/accounts/6578c015bd906601aefd9321")</f>
        <v/>
      </c>
      <c r="I802">
        <f>HYPERLINK("http://www.flexify.co.uk/")</f>
        <v/>
      </c>
      <c r="J802">
        <f>HYPERLINK("http://www.linkedin.com/company/flexifyhq")</f>
        <v/>
      </c>
      <c r="K802">
        <f>HYPERLINK("https://twitter.com/weareflexify")</f>
        <v/>
      </c>
      <c r="L802">
        <f>HYPERLINK("Not Found")</f>
        <v/>
      </c>
      <c r="M802" t="inlineStr">
        <is>
          <t>London, United Kingdom</t>
        </is>
      </c>
      <c r="N802" t="inlineStr">
        <is>
          <t>10</t>
        </is>
      </c>
      <c r="O802" t="inlineStr">
        <is>
          <t>Commercial Real Estate</t>
        </is>
      </c>
      <c r="P802" t="inlineStr">
        <is>
          <t>commercial real estate,office space</t>
        </is>
      </c>
      <c r="Q802" t="inlineStr">
        <is>
          <t>+447736287225</t>
        </is>
      </c>
    </row>
    <row r="803">
      <c r="A803" t="inlineStr">
        <is>
          <t>5e7432a641a4e1000173c8dc</t>
        </is>
      </c>
      <c r="B803" t="inlineStr">
        <is>
          <t>Mark Kelner</t>
        </is>
      </c>
      <c r="C803">
        <f>HYPERLINK("http://www.linkedin.com/in/mark-kelner-93a145146")</f>
        <v/>
      </c>
      <c r="D803" t="inlineStr">
        <is>
          <t>Not Found</t>
        </is>
      </c>
      <c r="E803" t="inlineStr">
        <is>
          <t>Commercial Director</t>
        </is>
      </c>
      <c r="F803">
        <f>HYPERLINK("https://app.apollo.io/#/people/5e7432a641a4e1000173c8dc")</f>
        <v/>
      </c>
      <c r="G803" t="inlineStr">
        <is>
          <t>CBRE Global Workplace Solutions (GWS)</t>
        </is>
      </c>
      <c r="H803">
        <f>HYPERLINK("https://app.apollo.io/#/accounts/6509fed6f449800001b69a15")</f>
        <v/>
      </c>
      <c r="I803">
        <f>HYPERLINK("http://www.coor.com/")</f>
        <v/>
      </c>
      <c r="J803">
        <f>HYPERLINK("http://www.linkedin.com/company/cbre-gws")</f>
        <v/>
      </c>
      <c r="K803">
        <f>HYPERLINK("Not Found")</f>
        <v/>
      </c>
      <c r="L803">
        <f>HYPERLINK("Not Found")</f>
        <v/>
      </c>
      <c r="M803" t="inlineStr">
        <is>
          <t>London, United Kingdom</t>
        </is>
      </c>
      <c r="N803" t="inlineStr">
        <is>
          <t>15,000</t>
        </is>
      </c>
      <c r="O803" t="inlineStr">
        <is>
          <t>Commercial Real Estate</t>
        </is>
      </c>
      <c r="P803" t="inlineStr">
        <is>
          <t>project management,advisory,transaction services</t>
        </is>
      </c>
      <c r="Q803" t="inlineStr">
        <is>
          <t>Not Found</t>
        </is>
      </c>
    </row>
    <row r="804">
      <c r="A804" t="inlineStr">
        <is>
          <t>63a83e9c14e3b60001104652</t>
        </is>
      </c>
      <c r="B804" t="inlineStr">
        <is>
          <t>Lee Heggan</t>
        </is>
      </c>
      <c r="C804">
        <f>HYPERLINK("http://www.linkedin.com/in/lee-heggan-fmsolutions-facilitiesmanagement")</f>
        <v/>
      </c>
      <c r="D804" t="inlineStr">
        <is>
          <t>Not Found</t>
        </is>
      </c>
      <c r="E804" t="inlineStr">
        <is>
          <t>EMEA Solutions Director</t>
        </is>
      </c>
      <c r="F804">
        <f>HYPERLINK("https://app.apollo.io/#/people/63a83e9c14e3b60001104652")</f>
        <v/>
      </c>
      <c r="G804" t="inlineStr">
        <is>
          <t>CBRE Global Workplace Solutions (GWS)</t>
        </is>
      </c>
      <c r="H804">
        <f>HYPERLINK("https://app.apollo.io/#/accounts/6509fed6f449800001b69a15")</f>
        <v/>
      </c>
      <c r="I804">
        <f>HYPERLINK("http://www.coor.com/")</f>
        <v/>
      </c>
      <c r="J804">
        <f>HYPERLINK("http://www.linkedin.com/company/cbre-gws")</f>
        <v/>
      </c>
      <c r="K804">
        <f>HYPERLINK("Not Found")</f>
        <v/>
      </c>
      <c r="L804">
        <f>HYPERLINK("Not Found")</f>
        <v/>
      </c>
      <c r="M804" t="inlineStr">
        <is>
          <t>London, United Kingdom</t>
        </is>
      </c>
      <c r="N804" t="inlineStr">
        <is>
          <t>15,000</t>
        </is>
      </c>
      <c r="O804" t="inlineStr">
        <is>
          <t>Commercial Real Estate</t>
        </is>
      </c>
      <c r="P804" t="inlineStr">
        <is>
          <t>project management,advisory,transaction services</t>
        </is>
      </c>
      <c r="Q804" t="inlineStr">
        <is>
          <t>Not Found</t>
        </is>
      </c>
    </row>
    <row r="805">
      <c r="A805" t="inlineStr">
        <is>
          <t>63f09c11a366b4000133f707</t>
        </is>
      </c>
      <c r="B805" t="inlineStr">
        <is>
          <t>Matt Perry</t>
        </is>
      </c>
      <c r="C805">
        <f>HYPERLINK("http://www.linkedin.com/in/matt-perry-b3224367")</f>
        <v/>
      </c>
      <c r="D805" t="inlineStr">
        <is>
          <t>Not Found</t>
        </is>
      </c>
      <c r="E805" t="inlineStr">
        <is>
          <t>Project Director</t>
        </is>
      </c>
      <c r="F805">
        <f>HYPERLINK("https://app.apollo.io/#/people/63f09c11a366b4000133f707")</f>
        <v/>
      </c>
      <c r="G805" t="inlineStr">
        <is>
          <t>Landsec</t>
        </is>
      </c>
      <c r="H805">
        <f>HYPERLINK("https://app.apollo.io/#/accounts/6578b86a75dc3a02ccc995c8")</f>
        <v/>
      </c>
      <c r="I805">
        <f>HYPERLINK("http://www.landsec.com/")</f>
        <v/>
      </c>
      <c r="J805">
        <f>HYPERLINK("http://www.linkedin.com/company/landsec")</f>
        <v/>
      </c>
      <c r="K805">
        <f>HYPERLINK("https://twitter.com/landsecgroup?lang=en")</f>
        <v/>
      </c>
      <c r="L805">
        <f>HYPERLINK("https://facebook.com/pages/category/Real-Estate-Company/Landsec-Group-335042077050643/")</f>
        <v/>
      </c>
      <c r="M805" t="inlineStr">
        <is>
          <t>Cranleigh, United Kingdom</t>
        </is>
      </c>
      <c r="N805" t="inlineStr">
        <is>
          <t>860</t>
        </is>
      </c>
      <c r="O805" t="inlineStr">
        <is>
          <t>Commercial Real Estate</t>
        </is>
      </c>
      <c r="P805" t="inlineStr">
        <is>
          <t>property investment,management &amp; development</t>
        </is>
      </c>
      <c r="Q805" t="inlineStr">
        <is>
          <t>Not Found</t>
        </is>
      </c>
    </row>
    <row r="806">
      <c r="A806" t="inlineStr">
        <is>
          <t>5ae82e5da6da982f64070b69</t>
        </is>
      </c>
      <c r="B806" t="inlineStr">
        <is>
          <t>Paul Hopper</t>
        </is>
      </c>
      <c r="C806">
        <f>HYPERLINK("http://www.linkedin.com/in/paul-hopper-6057251b")</f>
        <v/>
      </c>
      <c r="D806" t="inlineStr">
        <is>
          <t>Not Found</t>
        </is>
      </c>
      <c r="E806" t="inlineStr">
        <is>
          <t>Project Director</t>
        </is>
      </c>
      <c r="F806">
        <f>HYPERLINK("https://app.apollo.io/#/people/5ae82e5da6da982f64070b69")</f>
        <v/>
      </c>
      <c r="G806" t="inlineStr">
        <is>
          <t>CBRE Global Workplace Solutions (GWS)</t>
        </is>
      </c>
      <c r="H806">
        <f>HYPERLINK("https://app.apollo.io/#/accounts/6509fed6f449800001b69a15")</f>
        <v/>
      </c>
      <c r="I806">
        <f>HYPERLINK("http://www.coor.com/")</f>
        <v/>
      </c>
      <c r="J806">
        <f>HYPERLINK("http://www.linkedin.com/company/cbre-gws")</f>
        <v/>
      </c>
      <c r="K806">
        <f>HYPERLINK("Not Found")</f>
        <v/>
      </c>
      <c r="L806">
        <f>HYPERLINK("Not Found")</f>
        <v/>
      </c>
      <c r="M806" t="inlineStr">
        <is>
          <t>London, United Kingdom</t>
        </is>
      </c>
      <c r="N806" t="inlineStr">
        <is>
          <t>15,000</t>
        </is>
      </c>
      <c r="O806" t="inlineStr">
        <is>
          <t>Commercial Real Estate</t>
        </is>
      </c>
      <c r="P806" t="inlineStr">
        <is>
          <t>project management,advisory,transaction services</t>
        </is>
      </c>
      <c r="Q806" t="inlineStr">
        <is>
          <t>Not Found</t>
        </is>
      </c>
    </row>
    <row r="807">
      <c r="A807" t="inlineStr">
        <is>
          <t>6421ab2ec2491a0001f4408f</t>
        </is>
      </c>
      <c r="B807" t="inlineStr">
        <is>
          <t>Eric Cheung</t>
        </is>
      </c>
      <c r="C807">
        <f>HYPERLINK("http://www.linkedin.com/in/eric-cheung-390623226")</f>
        <v/>
      </c>
      <c r="D807" t="inlineStr">
        <is>
          <t>Not Found</t>
        </is>
      </c>
      <c r="E807" t="inlineStr">
        <is>
          <t>Managing Director</t>
        </is>
      </c>
      <c r="F807">
        <f>HYPERLINK("https://app.apollo.io/#/people/6421ab2ec2491a0001f4408f")</f>
        <v/>
      </c>
      <c r="G807" t="inlineStr">
        <is>
          <t>Partners</t>
        </is>
      </c>
      <c r="H807">
        <f>HYPERLINK("https://app.apollo.io/#/organizations/5f487bc4eddc5600018c7b5f")</f>
        <v/>
      </c>
      <c r="I807">
        <f>HYPERLINK("http://www.partnersrealestate.com/")</f>
        <v/>
      </c>
      <c r="J807">
        <f>HYPERLINK("http://www.linkedin.com/company/partnerscre")</f>
        <v/>
      </c>
      <c r="K807">
        <f>HYPERLINK("https://twitter.com/partnerscre")</f>
        <v/>
      </c>
      <c r="L807">
        <f>HYPERLINK("https://www.facebook.com/partnersrealestatecompany")</f>
        <v/>
      </c>
      <c r="M807" t="inlineStr">
        <is>
          <t>United Kingdom</t>
        </is>
      </c>
      <c r="N807" t="inlineStr">
        <is>
          <t>280</t>
        </is>
      </c>
      <c r="O807" t="inlineStr">
        <is>
          <t>Commercial Real Estate</t>
        </is>
      </c>
      <c r="P807" t="inlineStr">
        <is>
          <t>commercial real estate,property management</t>
        </is>
      </c>
      <c r="Q807" t="inlineStr">
        <is>
          <t>Not Found</t>
        </is>
      </c>
    </row>
    <row r="808">
      <c r="A808" t="inlineStr">
        <is>
          <t>60d20b54dc57be0001a3bd4b</t>
        </is>
      </c>
      <c r="B808" t="inlineStr">
        <is>
          <t>Graeme Smith</t>
        </is>
      </c>
      <c r="C808">
        <f>HYPERLINK("http://www.linkedin.com/in/graeme-smith-b85516170")</f>
        <v/>
      </c>
      <c r="D808" t="inlineStr">
        <is>
          <t>Not Found</t>
        </is>
      </c>
      <c r="E808" t="inlineStr">
        <is>
          <t>Alliance Director</t>
        </is>
      </c>
      <c r="F808">
        <f>HYPERLINK("https://app.apollo.io/#/people/60d20b54dc57be0001a3bd4b")</f>
        <v/>
      </c>
      <c r="G808" t="inlineStr">
        <is>
          <t>CBRE Global Workplace Solutions (GWS)</t>
        </is>
      </c>
      <c r="H808">
        <f>HYPERLINK("https://app.apollo.io/#/accounts/6509fed6f449800001b69a15")</f>
        <v/>
      </c>
      <c r="I808">
        <f>HYPERLINK("http://www.coor.com/")</f>
        <v/>
      </c>
      <c r="J808">
        <f>HYPERLINK("http://www.linkedin.com/company/cbre-gws")</f>
        <v/>
      </c>
      <c r="K808">
        <f>HYPERLINK("Not Found")</f>
        <v/>
      </c>
      <c r="L808">
        <f>HYPERLINK("Not Found")</f>
        <v/>
      </c>
      <c r="M808" t="inlineStr">
        <is>
          <t>Manchester, United Kingdom</t>
        </is>
      </c>
      <c r="N808" t="inlineStr">
        <is>
          <t>15,000</t>
        </is>
      </c>
      <c r="O808" t="inlineStr">
        <is>
          <t>Commercial Real Estate</t>
        </is>
      </c>
      <c r="P808" t="inlineStr">
        <is>
          <t>project management,advisory,transaction services</t>
        </is>
      </c>
      <c r="Q808" t="inlineStr">
        <is>
          <t>Not Found</t>
        </is>
      </c>
    </row>
    <row r="809">
      <c r="A809" t="inlineStr">
        <is>
          <t>5e842bde18b10000018bb10c</t>
        </is>
      </c>
      <c r="B809" t="inlineStr">
        <is>
          <t>Luke Price</t>
        </is>
      </c>
      <c r="C809">
        <f>HYPERLINK("http://www.linkedin.com/in/luke-price-209735a2")</f>
        <v/>
      </c>
      <c r="D809" t="inlineStr">
        <is>
          <t>Not Found</t>
        </is>
      </c>
      <c r="E809" t="inlineStr">
        <is>
          <t>Managing Director</t>
        </is>
      </c>
      <c r="F809">
        <f>HYPERLINK("https://app.apollo.io/#/people/5e842bde18b10000018bb10c")</f>
        <v/>
      </c>
      <c r="G809" t="inlineStr">
        <is>
          <t>A. M. PRICE &amp; SONS (CONSTRUCTION) LIMITED</t>
        </is>
      </c>
      <c r="H809">
        <f>HYPERLINK("https://app.apollo.io/#/organizations/5e563f3e667ed5000111fe82")</f>
        <v/>
      </c>
      <c r="I809">
        <f>HYPERLINK("http://www.ampriceandsons.co.uk/")</f>
        <v/>
      </c>
      <c r="J809">
        <f>HYPERLINK("http://www.linkedin.com/company/a.-m.-price-&amp;-sons-construction-limited")</f>
        <v/>
      </c>
      <c r="K809">
        <f>HYPERLINK("Not Found")</f>
        <v/>
      </c>
      <c r="L809">
        <f>HYPERLINK("Not Found")</f>
        <v/>
      </c>
      <c r="M809" t="inlineStr">
        <is>
          <t>United Kingdom</t>
        </is>
      </c>
      <c r="N809" t="inlineStr">
        <is>
          <t>2</t>
        </is>
      </c>
      <c r="O809" t="inlineStr">
        <is>
          <t>Commercial Real Estate</t>
        </is>
      </c>
      <c r="P809" t="inlineStr">
        <is>
          <t>building,schools,atm,maintenance</t>
        </is>
      </c>
      <c r="Q809" t="inlineStr">
        <is>
          <t>Not Found</t>
        </is>
      </c>
    </row>
    <row r="810">
      <c r="A810" t="inlineStr">
        <is>
          <t>5b28b92aa6da98c3a27f8ad9</t>
        </is>
      </c>
      <c r="B810" t="inlineStr">
        <is>
          <t>Andrew Sutton</t>
        </is>
      </c>
      <c r="C810">
        <f>HYPERLINK("http://www.linkedin.com/in/andrew-sutton-b88ab233")</f>
        <v/>
      </c>
      <c r="D810" t="inlineStr">
        <is>
          <t>Not Found</t>
        </is>
      </c>
      <c r="E810" t="inlineStr">
        <is>
          <t>Commercial Director</t>
        </is>
      </c>
      <c r="F810">
        <f>HYPERLINK("https://app.apollo.io/#/people/5b28b92aa6da98c3a27f8ad9")</f>
        <v/>
      </c>
      <c r="G810" t="inlineStr">
        <is>
          <t>SIP Car Parks Ltd</t>
        </is>
      </c>
      <c r="H810">
        <f>HYPERLINK("https://app.apollo.io/#/organizations/5e56a48be8dafc00018916b3")</f>
        <v/>
      </c>
      <c r="I810">
        <f>HYPERLINK("Not Found")</f>
        <v/>
      </c>
      <c r="J810">
        <f>HYPERLINK("http://www.linkedin.com/company/sip-car-parks-ltd")</f>
        <v/>
      </c>
      <c r="K810">
        <f>HYPERLINK("Not Found")</f>
        <v/>
      </c>
      <c r="L810">
        <f>HYPERLINK("Not Found")</f>
        <v/>
      </c>
      <c r="M810" t="inlineStr">
        <is>
          <t>Huddersfield, United Kingdom</t>
        </is>
      </c>
      <c r="N810" t="inlineStr">
        <is>
          <t>13</t>
        </is>
      </c>
      <c r="O810" t="inlineStr">
        <is>
          <t>Commercial Real Estate</t>
        </is>
      </c>
      <c r="P810" t="inlineStr">
        <is>
          <t>pay,display car parks,parking management</t>
        </is>
      </c>
      <c r="Q810" t="inlineStr">
        <is>
          <t>Not Found</t>
        </is>
      </c>
    </row>
    <row r="811">
      <c r="A811" t="inlineStr">
        <is>
          <t>6578c0721823b202d22f14b4</t>
        </is>
      </c>
      <c r="B811" t="inlineStr">
        <is>
          <t>David Tilbury</t>
        </is>
      </c>
      <c r="C811">
        <f>HYPERLINK("http://www.linkedin.com/in/david-tilbury-39664a129")</f>
        <v/>
      </c>
      <c r="D811" t="inlineStr">
        <is>
          <t>Not Found</t>
        </is>
      </c>
      <c r="E811" t="inlineStr">
        <is>
          <t>Business Owner</t>
        </is>
      </c>
      <c r="F811">
        <f>HYPERLINK("https://app.apollo.io/#/contacts/6578c0721823b202d22f14b4")</f>
        <v/>
      </c>
      <c r="G811" t="inlineStr">
        <is>
          <t>London &amp; Home Counties Alliance</t>
        </is>
      </c>
      <c r="H811">
        <f>HYPERLINK("https://app.apollo.io/#/accounts/6578c0721823b202d22f14b5")</f>
        <v/>
      </c>
      <c r="I811">
        <f>HYPERLINK("http://www.tilburyprojects.co.uk/")</f>
        <v/>
      </c>
      <c r="J811">
        <f>HYPERLINK("http://www.linkedin.com/company/london-home-counties-alliance")</f>
        <v/>
      </c>
      <c r="K811">
        <f>HYPERLINK("Not Found")</f>
        <v/>
      </c>
      <c r="L811">
        <f>HYPERLINK("Not Found")</f>
        <v/>
      </c>
      <c r="M811" t="inlineStr">
        <is>
          <t>London, United Kingdom</t>
        </is>
      </c>
      <c r="N811" t="inlineStr">
        <is>
          <t>5</t>
        </is>
      </c>
      <c r="O811" t="inlineStr">
        <is>
          <t>Commercial Real Estate</t>
        </is>
      </c>
      <c r="P811" t="inlineStr">
        <is>
          <t>buildings,property management,house renovation</t>
        </is>
      </c>
      <c r="Q811" t="inlineStr">
        <is>
          <t>(203)-712-8943</t>
        </is>
      </c>
    </row>
    <row r="812">
      <c r="A812" t="inlineStr">
        <is>
          <t>54a995877468692d1c2bb214</t>
        </is>
      </c>
      <c r="B812" t="inlineStr">
        <is>
          <t>Lisa Ashton-Jones</t>
        </is>
      </c>
      <c r="C812">
        <f>HYPERLINK("http://www.linkedin.com/in/lisa-ashton-jones-84a61168")</f>
        <v/>
      </c>
      <c r="D812" t="inlineStr">
        <is>
          <t>Not Found</t>
        </is>
      </c>
      <c r="E812" t="inlineStr">
        <is>
          <t>Company Director</t>
        </is>
      </c>
      <c r="F812">
        <f>HYPERLINK("https://app.apollo.io/#/people/54a995877468692d1c2bb214")</f>
        <v/>
      </c>
      <c r="G812" t="inlineStr">
        <is>
          <t>Vacant Units</t>
        </is>
      </c>
      <c r="H812">
        <f>HYPERLINK("https://app.apollo.io/#/organizations/54a1214469702d8aa13e9502")</f>
        <v/>
      </c>
      <c r="I812">
        <f>HYPERLINK("http://www.vacantunits.com/")</f>
        <v/>
      </c>
      <c r="J812">
        <f>HYPERLINK("http://www.linkedin.com/company/vacant-units")</f>
        <v/>
      </c>
      <c r="K812">
        <f>HYPERLINK("https://twitter.com/VacantUnits")</f>
        <v/>
      </c>
      <c r="L812">
        <f>HYPERLINK("Not Found")</f>
        <v/>
      </c>
      <c r="M812" t="inlineStr">
        <is>
          <t>Watford, United Kingdom</t>
        </is>
      </c>
      <c r="N812" t="inlineStr">
        <is>
          <t>2</t>
        </is>
      </c>
      <c r="O812" t="inlineStr">
        <is>
          <t>Commercial Real Estate</t>
        </is>
      </c>
      <c r="P812" t="inlineStr">
        <is>
          <t>offices to lease,serviced offices to lease</t>
        </is>
      </c>
      <c r="Q812" t="inlineStr">
        <is>
          <t>Not Found</t>
        </is>
      </c>
    </row>
    <row r="813">
      <c r="A813" t="inlineStr">
        <is>
          <t>6578c0941823b201ae2f2474</t>
        </is>
      </c>
      <c r="B813" t="inlineStr">
        <is>
          <t>James Harrocks</t>
        </is>
      </c>
      <c r="C813">
        <f>HYPERLINK("http://www.linkedin.com/in/james-harrocks-527a0973")</f>
        <v/>
      </c>
      <c r="D813" t="inlineStr">
        <is>
          <t>Not Found</t>
        </is>
      </c>
      <c r="E813" t="inlineStr">
        <is>
          <t>Principal Owner</t>
        </is>
      </c>
      <c r="F813">
        <f>HYPERLINK("https://app.apollo.io/#/contacts/6578c0941823b201ae2f2474")</f>
        <v/>
      </c>
      <c r="G813" t="inlineStr">
        <is>
          <t>Harrocks Commercial Property LTD</t>
        </is>
      </c>
      <c r="H813">
        <f>HYPERLINK("https://app.apollo.io/#/accounts/6578c0941823b201ae2f2475")</f>
        <v/>
      </c>
      <c r="I813">
        <f>HYPERLINK("http://www.harrocks.co.uk/")</f>
        <v/>
      </c>
      <c r="J813">
        <f>HYPERLINK("http://www.linkedin.com/company/harrocks-commercial-property-ltd")</f>
        <v/>
      </c>
      <c r="K813">
        <f>HYPERLINK("Not Found")</f>
        <v/>
      </c>
      <c r="L813">
        <f>HYPERLINK("Not Found")</f>
        <v/>
      </c>
      <c r="M813" t="inlineStr">
        <is>
          <t>Liverpool, United Kingdom</t>
        </is>
      </c>
      <c r="N813" t="inlineStr">
        <is>
          <t>1</t>
        </is>
      </c>
      <c r="O813" t="inlineStr">
        <is>
          <t>Commercial Real Estate</t>
        </is>
      </c>
      <c r="Q813" t="inlineStr">
        <is>
          <t>Not Found</t>
        </is>
      </c>
    </row>
    <row r="814">
      <c r="A814" t="inlineStr">
        <is>
          <t>54a4d04b7468693209341665</t>
        </is>
      </c>
      <c r="B814" t="inlineStr">
        <is>
          <t>Malcolm Cohen</t>
        </is>
      </c>
      <c r="C814">
        <f>HYPERLINK("http://www.linkedin.com/in/malcolm-cohen-0357a315")</f>
        <v/>
      </c>
      <c r="D814" t="inlineStr">
        <is>
          <t>Not Found</t>
        </is>
      </c>
      <c r="E814" t="inlineStr">
        <is>
          <t>Director of Leasing and Marketing</t>
        </is>
      </c>
      <c r="F814">
        <f>HYPERLINK("https://app.apollo.io/#/people/54a4d04b7468693209341665")</f>
        <v/>
      </c>
      <c r="G814" t="inlineStr">
        <is>
          <t>The Langham Estate</t>
        </is>
      </c>
      <c r="H814">
        <f>HYPERLINK("https://app.apollo.io/#/accounts/6578bc0fed4bc101ae1a238d")</f>
        <v/>
      </c>
      <c r="I814">
        <f>HYPERLINK("http://www.langhamestate.com/")</f>
        <v/>
      </c>
      <c r="J814">
        <f>HYPERLINK("http://www.linkedin.com/company/langham-estate")</f>
        <v/>
      </c>
      <c r="K814">
        <f>HYPERLINK("https://twitter.com/jetpack")</f>
        <v/>
      </c>
      <c r="L814">
        <f>HYPERLINK("https://facebook.com/pages/Langham-Estate-Management-Ltd/249673565101232")</f>
        <v/>
      </c>
      <c r="M814" t="inlineStr">
        <is>
          <t>London, United Kingdom</t>
        </is>
      </c>
      <c r="N814" t="inlineStr">
        <is>
          <t>50</t>
        </is>
      </c>
      <c r="O814" t="inlineStr">
        <is>
          <t>Commercial Real Estate</t>
        </is>
      </c>
      <c r="P814" t="inlineStr">
        <is>
          <t>commercial real estate,offices to let</t>
        </is>
      </c>
      <c r="Q814" t="inlineStr">
        <is>
          <t>Not Found</t>
        </is>
      </c>
    </row>
    <row r="815">
      <c r="A815" t="inlineStr">
        <is>
          <t>63a00abeec8b82000138868e</t>
        </is>
      </c>
      <c r="B815" t="inlineStr">
        <is>
          <t>Mike Vickers-Earll</t>
        </is>
      </c>
      <c r="C815">
        <f>HYPERLINK("http://www.linkedin.com/in/mike-vickers-earll-b189011b9")</f>
        <v/>
      </c>
      <c r="D815" t="inlineStr">
        <is>
          <t>Not Found</t>
        </is>
      </c>
      <c r="E815" t="inlineStr">
        <is>
          <t>Sales Director</t>
        </is>
      </c>
      <c r="F815">
        <f>HYPERLINK("https://app.apollo.io/#/people/63a00abeec8b82000138868e")</f>
        <v/>
      </c>
      <c r="G815" t="inlineStr">
        <is>
          <t>Ace Line Plant Ltd</t>
        </is>
      </c>
      <c r="H815">
        <f>HYPERLINK("https://app.apollo.io/#/organizations/5f48dd53036aae00010c2a25")</f>
        <v/>
      </c>
      <c r="I815">
        <f>HYPERLINK("http://www.acelineplant.com/")</f>
        <v/>
      </c>
      <c r="J815">
        <f>HYPERLINK("http://www.linkedin.com/company/ace-line-plant-limited")</f>
        <v/>
      </c>
      <c r="K815">
        <f>HYPERLINK("https://twitter.com/AceLinePlant")</f>
        <v/>
      </c>
      <c r="L815">
        <f>HYPERLINK("https://www.facebook.com/acelineplant/")</f>
        <v/>
      </c>
      <c r="M815" t="inlineStr">
        <is>
          <t>Rugby, United Kingdom</t>
        </is>
      </c>
      <c r="N815" t="inlineStr">
        <is>
          <t>6</t>
        </is>
      </c>
      <c r="O815" t="inlineStr">
        <is>
          <t>Commercial Real Estate</t>
        </is>
      </c>
      <c r="P815" t="inlineStr">
        <is>
          <t>fixtures &amp; fittings,hire,plant &amp; construction equipment</t>
        </is>
      </c>
      <c r="Q815" t="inlineStr">
        <is>
          <t>Not Found</t>
        </is>
      </c>
    </row>
    <row r="816">
      <c r="A816" t="inlineStr">
        <is>
          <t>5ad070d1a6da988434453783</t>
        </is>
      </c>
      <c r="B816" t="inlineStr">
        <is>
          <t>Nigel Fletcher</t>
        </is>
      </c>
      <c r="C816">
        <f>HYPERLINK("http://www.linkedin.com/in/nigel-fletcher-54846991")</f>
        <v/>
      </c>
      <c r="D816" t="inlineStr">
        <is>
          <t>Not Found</t>
        </is>
      </c>
      <c r="E816" t="inlineStr">
        <is>
          <t>Associate Director</t>
        </is>
      </c>
      <c r="F816">
        <f>HYPERLINK("https://app.apollo.io/#/people/5ad070d1a6da988434453783")</f>
        <v/>
      </c>
      <c r="G816" t="inlineStr">
        <is>
          <t>Harris Lamb</t>
        </is>
      </c>
      <c r="H816">
        <f>HYPERLINK("https://app.apollo.io/#/accounts/6578c3e448f92e01ae97c213")</f>
        <v/>
      </c>
      <c r="I816">
        <f>HYPERLINK("http://www.harrislamb.com/")</f>
        <v/>
      </c>
      <c r="J816">
        <f>HYPERLINK("http://www.linkedin.com/company/harris-lamb")</f>
        <v/>
      </c>
      <c r="K816">
        <f>HYPERLINK("https://twitter.com/harris_lamb")</f>
        <v/>
      </c>
      <c r="L816">
        <f>HYPERLINK("https://www.facebook.com/HarrisLamb")</f>
        <v/>
      </c>
      <c r="M816" t="inlineStr">
        <is>
          <t>England, United Kingdom</t>
        </is>
      </c>
      <c r="N816" t="inlineStr">
        <is>
          <t>69</t>
        </is>
      </c>
      <c r="O816" t="inlineStr">
        <is>
          <t>Commercial Real Estate</t>
        </is>
      </c>
      <c r="P816" t="inlineStr">
        <is>
          <t>commercial real estate,property consultancy</t>
        </is>
      </c>
      <c r="Q816" t="inlineStr">
        <is>
          <t>Not Found</t>
        </is>
      </c>
    </row>
    <row r="817">
      <c r="A817" t="inlineStr">
        <is>
          <t>5c427beef65125bc77ddecf1</t>
        </is>
      </c>
      <c r="B817" t="inlineStr">
        <is>
          <t>Glenn Price</t>
        </is>
      </c>
      <c r="C817">
        <f>HYPERLINK("http://www.linkedin.com/in/glenn-price-6227ab89")</f>
        <v/>
      </c>
      <c r="D817" t="inlineStr">
        <is>
          <t>Not Found</t>
        </is>
      </c>
      <c r="E817" t="inlineStr">
        <is>
          <t>Sales Director</t>
        </is>
      </c>
      <c r="F817">
        <f>HYPERLINK("https://app.apollo.io/#/people/5c427beef65125bc77ddecf1")</f>
        <v/>
      </c>
      <c r="G817" t="inlineStr">
        <is>
          <t>Edifice Managed Access Limited</t>
        </is>
      </c>
      <c r="H817">
        <f>HYPERLINK("https://app.apollo.io/#/organizations/54a11f0069702da10f64be01")</f>
        <v/>
      </c>
      <c r="I817">
        <f>HYPERLINK("http://www.edifice.uk.com/")</f>
        <v/>
      </c>
      <c r="J817">
        <f>HYPERLINK("http://www.linkedin.com/company/edifice-managed-access-limited")</f>
        <v/>
      </c>
      <c r="K817">
        <f>HYPERLINK("Not Found")</f>
        <v/>
      </c>
      <c r="L817">
        <f>HYPERLINK("Not Found")</f>
        <v/>
      </c>
      <c r="M817" t="inlineStr">
        <is>
          <t>London, United Kingdom</t>
        </is>
      </c>
      <c r="N817" t="inlineStr">
        <is>
          <t>4</t>
        </is>
      </c>
      <c r="O817" t="inlineStr">
        <is>
          <t>Commercial Real Estate</t>
        </is>
      </c>
      <c r="P817" t="inlineStr">
        <is>
          <t>sales &amp; marketing,commercial real estate</t>
        </is>
      </c>
      <c r="Q817" t="inlineStr">
        <is>
          <t>Not Found</t>
        </is>
      </c>
    </row>
    <row r="818">
      <c r="A818" t="inlineStr">
        <is>
          <t>54a20fea7468693cdd265c09</t>
        </is>
      </c>
      <c r="B818" t="inlineStr">
        <is>
          <t>David Montero</t>
        </is>
      </c>
      <c r="C818">
        <f>HYPERLINK("http://www.linkedin.com/in/david07montero")</f>
        <v/>
      </c>
      <c r="D818" t="inlineStr">
        <is>
          <t>Not Found</t>
        </is>
      </c>
      <c r="E818" t="inlineStr">
        <is>
          <t>Regional Lettings Director</t>
        </is>
      </c>
      <c r="F818">
        <f>HYPERLINK("https://app.apollo.io/#/people/54a20fea7468693cdd265c09")</f>
        <v/>
      </c>
      <c r="G818" t="inlineStr">
        <is>
          <t>Leaders Romans Group</t>
        </is>
      </c>
      <c r="H818">
        <f>HYPERLINK("https://app.apollo.io/#/accounts/6578b8bc85cede01ae5c466b")</f>
        <v/>
      </c>
      <c r="I818">
        <f>HYPERLINK("http://www.lrg.co.uk/")</f>
        <v/>
      </c>
      <c r="J818">
        <f>HYPERLINK("http://www.linkedin.com/company/leaders-romans-group")</f>
        <v/>
      </c>
      <c r="K818">
        <f>HYPERLINK("Not Found")</f>
        <v/>
      </c>
      <c r="L818">
        <f>HYPERLINK("Not Found")</f>
        <v/>
      </c>
      <c r="M818" t="inlineStr">
        <is>
          <t>Hassocks, United Kingdom</t>
        </is>
      </c>
      <c r="N818" t="inlineStr">
        <is>
          <t>2,600</t>
        </is>
      </c>
      <c r="O818" t="inlineStr">
        <is>
          <t>Commercial Real Estate</t>
        </is>
      </c>
      <c r="P818" t="inlineStr">
        <is>
          <t>estate agency,lettings,property investment</t>
        </is>
      </c>
      <c r="Q818" t="inlineStr">
        <is>
          <t>Not Found</t>
        </is>
      </c>
    </row>
    <row r="819">
      <c r="A819" t="inlineStr">
        <is>
          <t>6065a02aeef25f00012f4ce8</t>
        </is>
      </c>
      <c r="B819" t="inlineStr">
        <is>
          <t>Lydia Ings</t>
        </is>
      </c>
      <c r="C819">
        <f>HYPERLINK("http://www.linkedin.com/in/lydia-corneck-ings")</f>
        <v/>
      </c>
      <c r="D819" t="inlineStr">
        <is>
          <t>Not Found</t>
        </is>
      </c>
      <c r="E819" t="inlineStr">
        <is>
          <t>HR Director</t>
        </is>
      </c>
      <c r="F819">
        <f>HYPERLINK("https://app.apollo.io/#/people/6065a02aeef25f00012f4ce8")</f>
        <v/>
      </c>
      <c r="G819" t="inlineStr">
        <is>
          <t>Colliers</t>
        </is>
      </c>
      <c r="H819">
        <f>HYPERLINK("https://app.apollo.io/#/accounts/64aaf6c63d556a0001e8eda6")</f>
        <v/>
      </c>
      <c r="I819">
        <f>HYPERLINK("http://www.colliers.com/")</f>
        <v/>
      </c>
      <c r="J819">
        <f>HYPERLINK("http://www.linkedin.com/company/colliers")</f>
        <v/>
      </c>
      <c r="K819">
        <f>HYPERLINK("https://twitter.com/Colliers")</f>
        <v/>
      </c>
      <c r="L819">
        <f>HYPERLINK("https://facebook.com/colliersinternational/")</f>
        <v/>
      </c>
      <c r="M819" t="inlineStr">
        <is>
          <t>London, United Kingdom</t>
        </is>
      </c>
      <c r="N819" t="inlineStr">
        <is>
          <t>25,000</t>
        </is>
      </c>
      <c r="O819" t="inlineStr">
        <is>
          <t>Commercial Real Estate</t>
        </is>
      </c>
      <c r="P819" t="inlineStr">
        <is>
          <t>brokerage &amp; agency,corporate solutions</t>
        </is>
      </c>
      <c r="Q819" t="inlineStr">
        <is>
          <t>Not Found</t>
        </is>
      </c>
    </row>
    <row r="820">
      <c r="A820" t="inlineStr">
        <is>
          <t>5e72736e0eadf000017fd9c0</t>
        </is>
      </c>
      <c r="B820" t="inlineStr">
        <is>
          <t>Jason Upperdine</t>
        </is>
      </c>
      <c r="C820">
        <f>HYPERLINK("http://www.linkedin.com/in/jason-upperdine-05658516")</f>
        <v/>
      </c>
      <c r="D820" t="inlineStr">
        <is>
          <t>Not Found</t>
        </is>
      </c>
      <c r="E820" t="inlineStr">
        <is>
          <t>Business Unit Director</t>
        </is>
      </c>
      <c r="F820">
        <f>HYPERLINK("https://app.apollo.io/#/people/5e72736e0eadf000017fd9c0")</f>
        <v/>
      </c>
      <c r="G820" t="inlineStr">
        <is>
          <t>CBRE Global Workplace Solutions (GWS)</t>
        </is>
      </c>
      <c r="H820">
        <f>HYPERLINK("https://app.apollo.io/#/accounts/6509fed6f449800001b69a15")</f>
        <v/>
      </c>
      <c r="I820">
        <f>HYPERLINK("http://www.coor.com/")</f>
        <v/>
      </c>
      <c r="J820">
        <f>HYPERLINK("http://www.linkedin.com/company/cbre-gws")</f>
        <v/>
      </c>
      <c r="K820">
        <f>HYPERLINK("Not Found")</f>
        <v/>
      </c>
      <c r="L820">
        <f>HYPERLINK("Not Found")</f>
        <v/>
      </c>
      <c r="M820" t="inlineStr">
        <is>
          <t>Dudley, United Kingdom</t>
        </is>
      </c>
      <c r="N820" t="inlineStr">
        <is>
          <t>15,000</t>
        </is>
      </c>
      <c r="O820" t="inlineStr">
        <is>
          <t>Commercial Real Estate</t>
        </is>
      </c>
      <c r="P820" t="inlineStr">
        <is>
          <t>project management,advisory,transaction services</t>
        </is>
      </c>
      <c r="Q820" t="inlineStr">
        <is>
          <t>Not Found</t>
        </is>
      </c>
    </row>
    <row r="821">
      <c r="A821" t="inlineStr">
        <is>
          <t>62ab4da1eac2460001a8f81b</t>
        </is>
      </c>
      <c r="B821" t="inlineStr">
        <is>
          <t>Tom Harmsworth</t>
        </is>
      </c>
      <c r="C821">
        <f>HYPERLINK("http://www.linkedin.com/in/tom-h-97579b52")</f>
        <v/>
      </c>
      <c r="D821" t="inlineStr">
        <is>
          <t>Not Found</t>
        </is>
      </c>
      <c r="E821" t="inlineStr">
        <is>
          <t>Managing Director UK</t>
        </is>
      </c>
      <c r="F821">
        <f>HYPERLINK("https://app.apollo.io/#/people/62ab4da1eac2460001a8f81b")</f>
        <v/>
      </c>
      <c r="G821" t="inlineStr">
        <is>
          <t>WeMaintain | Certified B Corp</t>
        </is>
      </c>
      <c r="H821">
        <f>HYPERLINK("https://app.apollo.io/#/organizations/5b1331caa6da98dcf76167a0")</f>
        <v/>
      </c>
      <c r="I821">
        <f>HYPERLINK("http://www.wemaintain.com/")</f>
        <v/>
      </c>
      <c r="J821">
        <f>HYPERLINK("http://www.linkedin.com/company/wemaintain-com")</f>
        <v/>
      </c>
      <c r="K821">
        <f>HYPERLINK("https://twitter.com/_WeMaintain")</f>
        <v/>
      </c>
      <c r="L821">
        <f>HYPERLINK("https://facebook.com/WeMaintain-296054860902089/")</f>
        <v/>
      </c>
      <c r="M821" t="inlineStr">
        <is>
          <t>United Kingdom</t>
        </is>
      </c>
      <c r="N821" t="inlineStr">
        <is>
          <t>170</t>
        </is>
      </c>
      <c r="O821" t="inlineStr">
        <is>
          <t>Commercial Real Estate</t>
        </is>
      </c>
      <c r="P821" t="inlineStr">
        <is>
          <t>ascenseurs,securite incendie,escalators</t>
        </is>
      </c>
      <c r="Q821" t="inlineStr">
        <is>
          <t>Not Found</t>
        </is>
      </c>
    </row>
    <row r="822">
      <c r="A822" t="inlineStr">
        <is>
          <t>651833a2b539fc00015cce9f</t>
        </is>
      </c>
      <c r="B822" t="inlineStr">
        <is>
          <t>Alison Willoughby</t>
        </is>
      </c>
      <c r="C822">
        <f>HYPERLINK("http://www.linkedin.com/in/alison-willoughby-ab96a127")</f>
        <v/>
      </c>
      <c r="D822" t="inlineStr">
        <is>
          <t>Not Found</t>
        </is>
      </c>
      <c r="E822" t="inlineStr">
        <is>
          <t>Associate Director, Healthcare</t>
        </is>
      </c>
      <c r="F822">
        <f>HYPERLINK("https://app.apollo.io/#/people/651833a2b539fc00015cce9f")</f>
        <v/>
      </c>
      <c r="G822" t="inlineStr">
        <is>
          <t>Colliers</t>
        </is>
      </c>
      <c r="H822">
        <f>HYPERLINK("https://app.apollo.io/#/accounts/64aaf6c63d556a0001e8eda6")</f>
        <v/>
      </c>
      <c r="I822">
        <f>HYPERLINK("http://www.colliers.com/")</f>
        <v/>
      </c>
      <c r="J822">
        <f>HYPERLINK("http://www.linkedin.com/company/colliers")</f>
        <v/>
      </c>
      <c r="K822">
        <f>HYPERLINK("https://twitter.com/Colliers")</f>
        <v/>
      </c>
      <c r="L822">
        <f>HYPERLINK("https://facebook.com/colliersinternational/")</f>
        <v/>
      </c>
      <c r="M822" t="inlineStr">
        <is>
          <t>United Kingdom</t>
        </is>
      </c>
      <c r="N822" t="inlineStr">
        <is>
          <t>25,000</t>
        </is>
      </c>
      <c r="O822" t="inlineStr">
        <is>
          <t>Commercial Real Estate</t>
        </is>
      </c>
      <c r="P822" t="inlineStr">
        <is>
          <t>brokerage &amp; agency,corporate solutions</t>
        </is>
      </c>
      <c r="Q822" t="inlineStr">
        <is>
          <t>Not Found</t>
        </is>
      </c>
    </row>
    <row r="823">
      <c r="A823" t="inlineStr">
        <is>
          <t>6578c09e1823b201ae2f24b5</t>
        </is>
      </c>
      <c r="B823" t="inlineStr">
        <is>
          <t>John Adams</t>
        </is>
      </c>
      <c r="C823">
        <f>HYPERLINK("http://www.linkedin.com/in/john-adams-4a87307")</f>
        <v/>
      </c>
      <c r="D823" t="inlineStr">
        <is>
          <t>Not Found</t>
        </is>
      </c>
      <c r="E823" t="inlineStr">
        <is>
          <t>Company Owner</t>
        </is>
      </c>
      <c r="F823">
        <f>HYPERLINK("https://app.apollo.io/#/contacts/6578c09e1823b201ae2f24b5")</f>
        <v/>
      </c>
      <c r="G823" t="inlineStr">
        <is>
          <t>Jones Norris Adams Chartered Surveyors</t>
        </is>
      </c>
      <c r="H823">
        <f>HYPERLINK("https://app.apollo.io/#/accounts/6578c09e1823b201ae2f24b7")</f>
        <v/>
      </c>
      <c r="I823">
        <f>HYPERLINK("http://www.jnaproperty.com/")</f>
        <v/>
      </c>
      <c r="J823">
        <f>HYPERLINK("http://www.linkedin.com/company/jones-norris-adams-chartered-surveyors")</f>
        <v/>
      </c>
      <c r="K823">
        <f>HYPERLINK("Not Found")</f>
        <v/>
      </c>
      <c r="L823">
        <f>HYPERLINK("Not Found")</f>
        <v/>
      </c>
      <c r="M823" t="inlineStr">
        <is>
          <t>London, United Kingdom</t>
        </is>
      </c>
      <c r="N823" t="inlineStr">
        <is>
          <t>5</t>
        </is>
      </c>
      <c r="O823" t="inlineStr">
        <is>
          <t>Commercial Real Estate</t>
        </is>
      </c>
      <c r="P823" t="inlineStr">
        <is>
          <t>lease renewals,business rates advice</t>
        </is>
      </c>
      <c r="Q823" t="inlineStr">
        <is>
          <t>(585)-455-1494</t>
        </is>
      </c>
    </row>
    <row r="824">
      <c r="A824" t="inlineStr">
        <is>
          <t>636d4521315938000170273d</t>
        </is>
      </c>
      <c r="B824" t="inlineStr">
        <is>
          <t>Ilana Sarner</t>
        </is>
      </c>
      <c r="C824">
        <f>HYPERLINK("http://www.linkedin.com/in/ilanasarner")</f>
        <v/>
      </c>
      <c r="D824" t="inlineStr">
        <is>
          <t>Not Found</t>
        </is>
      </c>
      <c r="E824" t="inlineStr">
        <is>
          <t>Brand Account Director</t>
        </is>
      </c>
      <c r="F824">
        <f>HYPERLINK("https://app.apollo.io/#/people/636d4521315938000170273d")</f>
        <v/>
      </c>
      <c r="G824" t="inlineStr">
        <is>
          <t>Landsec</t>
        </is>
      </c>
      <c r="H824">
        <f>HYPERLINK("https://app.apollo.io/#/accounts/6578b86a75dc3a02ccc995c8")</f>
        <v/>
      </c>
      <c r="I824">
        <f>HYPERLINK("http://www.landsec.com/")</f>
        <v/>
      </c>
      <c r="J824">
        <f>HYPERLINK("http://www.linkedin.com/company/landsec")</f>
        <v/>
      </c>
      <c r="K824">
        <f>HYPERLINK("https://twitter.com/landsecgroup?lang=en")</f>
        <v/>
      </c>
      <c r="L824">
        <f>HYPERLINK("https://facebook.com/pages/category/Real-Estate-Company/Landsec-Group-335042077050643/")</f>
        <v/>
      </c>
      <c r="M824" t="inlineStr">
        <is>
          <t>London, United Kingdom</t>
        </is>
      </c>
      <c r="N824" t="inlineStr">
        <is>
          <t>860</t>
        </is>
      </c>
      <c r="O824" t="inlineStr">
        <is>
          <t>Commercial Real Estate</t>
        </is>
      </c>
      <c r="P824" t="inlineStr">
        <is>
          <t>property investment,management &amp; development</t>
        </is>
      </c>
      <c r="Q824" t="inlineStr">
        <is>
          <t>Not Found</t>
        </is>
      </c>
    </row>
    <row r="825">
      <c r="A825" t="inlineStr">
        <is>
          <t>6502e3398377850001a08c05</t>
        </is>
      </c>
      <c r="B825" t="inlineStr">
        <is>
          <t>Neil Jones</t>
        </is>
      </c>
      <c r="C825">
        <f>HYPERLINK("http://www.linkedin.com/in/neil-jones-91477361")</f>
        <v/>
      </c>
      <c r="D825" t="inlineStr">
        <is>
          <t>Not Found</t>
        </is>
      </c>
      <c r="E825" t="inlineStr">
        <is>
          <t>Global Alliance Director</t>
        </is>
      </c>
      <c r="F825">
        <f>HYPERLINK("https://app.apollo.io/#/people/6502e3398377850001a08c05")</f>
        <v/>
      </c>
      <c r="G825" t="inlineStr">
        <is>
          <t>CBRE Global Workplace Solutions (GWS)</t>
        </is>
      </c>
      <c r="H825">
        <f>HYPERLINK("https://app.apollo.io/#/accounts/6509fed6f449800001b69a15")</f>
        <v/>
      </c>
      <c r="I825">
        <f>HYPERLINK("http://www.coor.com/")</f>
        <v/>
      </c>
      <c r="J825">
        <f>HYPERLINK("http://www.linkedin.com/company/cbre-gws")</f>
        <v/>
      </c>
      <c r="K825">
        <f>HYPERLINK("Not Found")</f>
        <v/>
      </c>
      <c r="L825">
        <f>HYPERLINK("Not Found")</f>
        <v/>
      </c>
      <c r="M825" t="inlineStr">
        <is>
          <t>Leeds, United Kingdom</t>
        </is>
      </c>
      <c r="N825" t="inlineStr">
        <is>
          <t>15,000</t>
        </is>
      </c>
      <c r="O825" t="inlineStr">
        <is>
          <t>Commercial Real Estate</t>
        </is>
      </c>
      <c r="P825" t="inlineStr">
        <is>
          <t>project management,advisory,transaction services</t>
        </is>
      </c>
      <c r="Q825" t="inlineStr">
        <is>
          <t>Not Found</t>
        </is>
      </c>
    </row>
    <row r="826">
      <c r="A826" t="inlineStr">
        <is>
          <t>5aeb21ada6da981d0438d0dc</t>
        </is>
      </c>
      <c r="B826" t="inlineStr">
        <is>
          <t>Paul Matthews</t>
        </is>
      </c>
      <c r="C826">
        <f>HYPERLINK("http://www.linkedin.com/in/paul-matthews-945764132")</f>
        <v/>
      </c>
      <c r="D826" t="inlineStr">
        <is>
          <t>Not Found</t>
        </is>
      </c>
      <c r="E826" t="inlineStr">
        <is>
          <t>Business Unit Director</t>
        </is>
      </c>
      <c r="F826">
        <f>HYPERLINK("https://app.apollo.io/#/people/5aeb21ada6da981d0438d0dc")</f>
        <v/>
      </c>
      <c r="G826" t="inlineStr">
        <is>
          <t>CBRE Global Workplace Solutions (GWS)</t>
        </is>
      </c>
      <c r="H826">
        <f>HYPERLINK("https://app.apollo.io/#/accounts/6509fed6f449800001b69a15")</f>
        <v/>
      </c>
      <c r="I826">
        <f>HYPERLINK("http://www.coor.com/")</f>
        <v/>
      </c>
      <c r="J826">
        <f>HYPERLINK("http://www.linkedin.com/company/cbre-gws")</f>
        <v/>
      </c>
      <c r="K826">
        <f>HYPERLINK("Not Found")</f>
        <v/>
      </c>
      <c r="L826">
        <f>HYPERLINK("Not Found")</f>
        <v/>
      </c>
      <c r="M826" t="inlineStr">
        <is>
          <t>United Kingdom</t>
        </is>
      </c>
      <c r="N826" t="inlineStr">
        <is>
          <t>15,000</t>
        </is>
      </c>
      <c r="O826" t="inlineStr">
        <is>
          <t>Commercial Real Estate</t>
        </is>
      </c>
      <c r="P826" t="inlineStr">
        <is>
          <t>project management,advisory,transaction services</t>
        </is>
      </c>
      <c r="Q826" t="inlineStr">
        <is>
          <t>Not Found</t>
        </is>
      </c>
    </row>
    <row r="827">
      <c r="A827" t="inlineStr">
        <is>
          <t>5b1e7484a6da98e249d75b13</t>
        </is>
      </c>
      <c r="B827" t="inlineStr">
        <is>
          <t>David Tucker</t>
        </is>
      </c>
      <c r="C827">
        <f>HYPERLINK("http://www.linkedin.com/in/david-tucker-3691b311")</f>
        <v/>
      </c>
      <c r="D827" t="inlineStr">
        <is>
          <t>Not Found</t>
        </is>
      </c>
      <c r="E827" t="inlineStr">
        <is>
          <t>Health and Safety Director</t>
        </is>
      </c>
      <c r="F827">
        <f>HYPERLINK("https://app.apollo.io/#/people/5b1e7484a6da98e249d75b13")</f>
        <v/>
      </c>
      <c r="G827" t="inlineStr">
        <is>
          <t>Landsec</t>
        </is>
      </c>
      <c r="H827">
        <f>HYPERLINK("https://app.apollo.io/#/accounts/6578b86a75dc3a02ccc995c8")</f>
        <v/>
      </c>
      <c r="I827">
        <f>HYPERLINK("http://www.landsec.com/")</f>
        <v/>
      </c>
      <c r="J827">
        <f>HYPERLINK("http://www.linkedin.com/company/landsec")</f>
        <v/>
      </c>
      <c r="K827">
        <f>HYPERLINK("https://twitter.com/landsecgroup?lang=en")</f>
        <v/>
      </c>
      <c r="L827">
        <f>HYPERLINK("https://facebook.com/pages/category/Real-Estate-Company/Landsec-Group-335042077050643/")</f>
        <v/>
      </c>
      <c r="M827" t="inlineStr">
        <is>
          <t>London, United Kingdom</t>
        </is>
      </c>
      <c r="N827" t="inlineStr">
        <is>
          <t>860</t>
        </is>
      </c>
      <c r="O827" t="inlineStr">
        <is>
          <t>Commercial Real Estate</t>
        </is>
      </c>
      <c r="P827" t="inlineStr">
        <is>
          <t>property investment,management &amp; development</t>
        </is>
      </c>
      <c r="Q827" t="inlineStr">
        <is>
          <t>Not Found</t>
        </is>
      </c>
    </row>
    <row r="828">
      <c r="A828" t="inlineStr">
        <is>
          <t>654e4a79c7394a00012f4b64</t>
        </is>
      </c>
      <c r="B828" t="inlineStr">
        <is>
          <t>Olivier</t>
        </is>
      </c>
      <c r="C828">
        <f>HYPERLINK("http://www.linkedin.com/in/olivier-s-37177914")</f>
        <v/>
      </c>
      <c r="D828" t="inlineStr">
        <is>
          <t>Not Found</t>
        </is>
      </c>
      <c r="E828" t="inlineStr">
        <is>
          <t>Managing Director Europe</t>
        </is>
      </c>
      <c r="F828">
        <f>HYPERLINK("https://app.apollo.io/#/people/654e4a79c7394a00012f4b64")</f>
        <v/>
      </c>
      <c r="G828" t="inlineStr">
        <is>
          <t>Thor Equities Group</t>
        </is>
      </c>
      <c r="H828">
        <f>HYPERLINK("https://app.apollo.io/#/organizations/54a11d6769702d8aa166f500")</f>
        <v/>
      </c>
      <c r="I828">
        <f>HYPERLINK("http://www.thorequities.com/")</f>
        <v/>
      </c>
      <c r="J828">
        <f>HYPERLINK("http://www.linkedin.com/company/thor-equities")</f>
        <v/>
      </c>
      <c r="K828">
        <f>HYPERLINK("http://twitter.com/ThorEquities")</f>
        <v/>
      </c>
      <c r="L828">
        <f>HYPERLINK("http://www.facebook.com/ThorEquities")</f>
        <v/>
      </c>
      <c r="M828" t="inlineStr">
        <is>
          <t>London, United Kingdom</t>
        </is>
      </c>
      <c r="N828" t="inlineStr">
        <is>
          <t>150</t>
        </is>
      </c>
      <c r="O828" t="inlineStr">
        <is>
          <t>Commercial Real Estate</t>
        </is>
      </c>
      <c r="P828" t="inlineStr">
        <is>
          <t>commercial real estate &amp; real estate development</t>
        </is>
      </c>
      <c r="Q828" t="inlineStr">
        <is>
          <t>Not Found</t>
        </is>
      </c>
    </row>
    <row r="829">
      <c r="A829" t="inlineStr">
        <is>
          <t>621d9d2c313eee000143600a</t>
        </is>
      </c>
      <c r="B829" t="inlineStr">
        <is>
          <t>Nicola Wray</t>
        </is>
      </c>
      <c r="C829">
        <f>HYPERLINK("http://www.linkedin.com/in/nicolachitty")</f>
        <v/>
      </c>
      <c r="D829" t="inlineStr">
        <is>
          <t>Not Found</t>
        </is>
      </c>
      <c r="E829" t="inlineStr">
        <is>
          <t>National Account Director</t>
        </is>
      </c>
      <c r="F829">
        <f>HYPERLINK("https://app.apollo.io/#/people/621d9d2c313eee000143600a")</f>
        <v/>
      </c>
      <c r="G829" t="inlineStr">
        <is>
          <t>edozo</t>
        </is>
      </c>
      <c r="H829">
        <f>HYPERLINK("https://app.apollo.io/#/accounts/6578bc4bf8c62e01aef7c338")</f>
        <v/>
      </c>
      <c r="I829">
        <f>HYPERLINK("http://www.edozo.com/")</f>
        <v/>
      </c>
      <c r="J829">
        <f>HYPERLINK("http://www.linkedin.com/company/edozo")</f>
        <v/>
      </c>
      <c r="K829">
        <f>HYPERLINK("https://twitter.com/edozo_uk")</f>
        <v/>
      </c>
      <c r="L829">
        <f>HYPERLINK("https://facebook.com/edozomaps/")</f>
        <v/>
      </c>
      <c r="M829" t="inlineStr">
        <is>
          <t>Bracknell, United Kingdom</t>
        </is>
      </c>
      <c r="N829" t="inlineStr">
        <is>
          <t>38</t>
        </is>
      </c>
      <c r="O829" t="inlineStr">
        <is>
          <t>Commercial Real Estate</t>
        </is>
      </c>
      <c r="P829" t="inlineStr">
        <is>
          <t>data,crm,real estate technology,property</t>
        </is>
      </c>
      <c r="Q829" t="inlineStr">
        <is>
          <t>Not Found</t>
        </is>
      </c>
    </row>
    <row r="830">
      <c r="A830" t="inlineStr">
        <is>
          <t>628f84b80dbc7d0001555086</t>
        </is>
      </c>
      <c r="B830" t="inlineStr">
        <is>
          <t>Lowis Lynval</t>
        </is>
      </c>
      <c r="C830">
        <f>HYPERLINK("http://www.linkedin.com/in/lowis-lynval-8bba30161")</f>
        <v/>
      </c>
      <c r="D830" t="inlineStr">
        <is>
          <t>Not Found</t>
        </is>
      </c>
      <c r="E830" t="inlineStr">
        <is>
          <t>Sales Director</t>
        </is>
      </c>
      <c r="F830">
        <f>HYPERLINK("https://app.apollo.io/#/people/628f84b80dbc7d0001555086")</f>
        <v/>
      </c>
      <c r="G830" t="inlineStr">
        <is>
          <t>Berkshire Hathaway HomeServices Georgia Properties</t>
        </is>
      </c>
      <c r="H830">
        <f>HYPERLINK("https://app.apollo.io/#/organizations/5da36c94e3362e0001e96604")</f>
        <v/>
      </c>
      <c r="I830">
        <f>HYPERLINK("http://www.bhhsgeorgia.com/")</f>
        <v/>
      </c>
      <c r="J830">
        <f>HYPERLINK("http://www.linkedin.com/company/bhhsgeorgia")</f>
        <v/>
      </c>
      <c r="K830">
        <f>HYPERLINK("https://twitter.com/bhhsgeorgia")</f>
        <v/>
      </c>
      <c r="L830">
        <f>HYPERLINK("https://facebook.com/BHHSGeorgiaProperties/")</f>
        <v/>
      </c>
      <c r="M830" t="inlineStr">
        <is>
          <t>Camberley, United Kingdom</t>
        </is>
      </c>
      <c r="N830" t="inlineStr">
        <is>
          <t>2,000</t>
        </is>
      </c>
      <c r="O830" t="inlineStr">
        <is>
          <t>Commercial Real Estate</t>
        </is>
      </c>
      <c r="P830" t="inlineStr">
        <is>
          <t>commercial real estate,corporate relocation</t>
        </is>
      </c>
      <c r="Q830" t="inlineStr">
        <is>
          <t>Not Found</t>
        </is>
      </c>
    </row>
    <row r="831">
      <c r="A831" t="inlineStr">
        <is>
          <t>62d0c5b020bc7a00014ccb86</t>
        </is>
      </c>
      <c r="B831" t="inlineStr">
        <is>
          <t>Richard Dunbar</t>
        </is>
      </c>
      <c r="C831">
        <f>HYPERLINK("http://www.linkedin.com/in/richard-dunbar-1580a863")</f>
        <v/>
      </c>
      <c r="D831" t="inlineStr">
        <is>
          <t>Not Found</t>
        </is>
      </c>
      <c r="E831" t="inlineStr">
        <is>
          <t>EMEA Finance Director</t>
        </is>
      </c>
      <c r="F831">
        <f>HYPERLINK("https://app.apollo.io/#/people/62d0c5b020bc7a00014ccb86")</f>
        <v/>
      </c>
      <c r="G831" t="inlineStr">
        <is>
          <t>CBRE Global Workplace Solutions (GWS)</t>
        </is>
      </c>
      <c r="H831">
        <f>HYPERLINK("https://app.apollo.io/#/accounts/6509fed6f449800001b69a15")</f>
        <v/>
      </c>
      <c r="I831">
        <f>HYPERLINK("http://www.coor.com/")</f>
        <v/>
      </c>
      <c r="J831">
        <f>HYPERLINK("http://www.linkedin.com/company/cbre-gws")</f>
        <v/>
      </c>
      <c r="K831">
        <f>HYPERLINK("Not Found")</f>
        <v/>
      </c>
      <c r="L831">
        <f>HYPERLINK("Not Found")</f>
        <v/>
      </c>
      <c r="M831" t="inlineStr">
        <is>
          <t>England, United Kingdom</t>
        </is>
      </c>
      <c r="N831" t="inlineStr">
        <is>
          <t>15,000</t>
        </is>
      </c>
      <c r="O831" t="inlineStr">
        <is>
          <t>Commercial Real Estate</t>
        </is>
      </c>
      <c r="P831" t="inlineStr">
        <is>
          <t>project management,advisory,transaction services</t>
        </is>
      </c>
      <c r="Q831" t="inlineStr">
        <is>
          <t>Not Found</t>
        </is>
      </c>
    </row>
    <row r="832">
      <c r="A832" t="inlineStr">
        <is>
          <t>5ffb2c94527df800014acc29</t>
        </is>
      </c>
      <c r="B832" t="inlineStr">
        <is>
          <t>Wladimir Baranoff-Rossine</t>
        </is>
      </c>
      <c r="C832">
        <f>HYPERLINK("http://www.linkedin.com/in/wladimirbr")</f>
        <v/>
      </c>
      <c r="D832" t="inlineStr">
        <is>
          <t>Not Found</t>
        </is>
      </c>
      <c r="E832" t="inlineStr">
        <is>
          <t>Founder, Editor (acquired by Ice Cold Ventures, LLC)</t>
        </is>
      </c>
      <c r="F832">
        <f>HYPERLINK("https://app.apollo.io/#/people/5ffb2c94527df800014acc29")</f>
        <v/>
      </c>
      <c r="G832" t="inlineStr">
        <is>
          <t>TheAgent.News</t>
        </is>
      </c>
      <c r="H832">
        <f>HYPERLINK("https://app.apollo.io/#/organizations/5a9e71bda6da98d977fb0b46")</f>
        <v/>
      </c>
      <c r="I832">
        <f>HYPERLINK("http://www.theagent.news/")</f>
        <v/>
      </c>
      <c r="J832">
        <f>HYPERLINK("http://www.linkedin.com/company/theagent-news")</f>
        <v/>
      </c>
      <c r="K832">
        <f>HYPERLINK("Not Found")</f>
        <v/>
      </c>
      <c r="L832">
        <f>HYPERLINK("Not Found")</f>
        <v/>
      </c>
      <c r="M832" t="inlineStr">
        <is>
          <t>London, United Kingdom</t>
        </is>
      </c>
      <c r="N832" t="inlineStr">
        <is>
          <t>10</t>
        </is>
      </c>
      <c r="O832" t="inlineStr">
        <is>
          <t>Commercial Real Estate</t>
        </is>
      </c>
      <c r="P832" t="inlineStr">
        <is>
          <t>real estate,marketing automation,mobile apps</t>
        </is>
      </c>
      <c r="Q832" t="inlineStr">
        <is>
          <t>Not Found</t>
        </is>
      </c>
    </row>
    <row r="833">
      <c r="A833" t="inlineStr">
        <is>
          <t>54a605df7468692abf3e41bc</t>
        </is>
      </c>
      <c r="B833" t="inlineStr">
        <is>
          <t>Ruby Jhita</t>
        </is>
      </c>
      <c r="C833">
        <f>HYPERLINK("http://www.linkedin.com/in/rubyjhita")</f>
        <v/>
      </c>
      <c r="D833" t="inlineStr">
        <is>
          <t>Not Found</t>
        </is>
      </c>
      <c r="E833" t="inlineStr">
        <is>
          <t>Senior Director, Legal</t>
        </is>
      </c>
      <c r="F833">
        <f>HYPERLINK("https://app.apollo.io/#/people/54a605df7468692abf3e41bc")</f>
        <v/>
      </c>
      <c r="G833" t="inlineStr">
        <is>
          <t>Oxford Properties Group</t>
        </is>
      </c>
      <c r="H833">
        <f>HYPERLINK("https://app.apollo.io/#/organizations/54a13c1d69702d267a40c301")</f>
        <v/>
      </c>
      <c r="I833">
        <f>HYPERLINK("http://www.oxfordproperties.com/")</f>
        <v/>
      </c>
      <c r="J833">
        <f>HYPERLINK("http://www.linkedin.com/company/oxford-properties-group")</f>
        <v/>
      </c>
      <c r="K833">
        <f>HYPERLINK("https://twitter.com/oxfordpropgrp")</f>
        <v/>
      </c>
      <c r="L833">
        <f>HYPERLINK("https://facebook.com/Oxford-Properties-Group-144027735748216/")</f>
        <v/>
      </c>
      <c r="M833" t="inlineStr">
        <is>
          <t>United Kingdom</t>
        </is>
      </c>
      <c r="N833" t="inlineStr">
        <is>
          <t>1,700</t>
        </is>
      </c>
      <c r="O833" t="inlineStr">
        <is>
          <t>Commercial Real Estate</t>
        </is>
      </c>
      <c r="P833" t="inlineStr">
        <is>
          <t>real estate,development,investment,property management</t>
        </is>
      </c>
      <c r="Q833" t="inlineStr">
        <is>
          <t>Not Found</t>
        </is>
      </c>
    </row>
    <row r="834">
      <c r="A834" t="inlineStr">
        <is>
          <t>6113dce46379e50001114cda</t>
        </is>
      </c>
      <c r="B834" t="inlineStr">
        <is>
          <t>Lindsey Hegarty</t>
        </is>
      </c>
      <c r="C834">
        <f>HYPERLINK("http://www.linkedin.com/in/lindsey-hegarty-5001b416")</f>
        <v/>
      </c>
      <c r="D834" t="inlineStr">
        <is>
          <t>Not Found</t>
        </is>
      </c>
      <c r="E834" t="inlineStr">
        <is>
          <t>Business Development Director</t>
        </is>
      </c>
      <c r="F834">
        <f>HYPERLINK("https://app.apollo.io/#/people/6113dce46379e50001114cda")</f>
        <v/>
      </c>
      <c r="G834" t="inlineStr">
        <is>
          <t>Robertson Group</t>
        </is>
      </c>
      <c r="H834">
        <f>HYPERLINK("https://app.apollo.io/#/organizations/54a120e469702d97c110ad02")</f>
        <v/>
      </c>
      <c r="I834">
        <f>HYPERLINK("http://www.robertson.hu/")</f>
        <v/>
      </c>
      <c r="J834">
        <f>HYPERLINK("http://www.linkedin.com/company/robertsongroup")</f>
        <v/>
      </c>
      <c r="K834">
        <f>HYPERLINK("Not Found")</f>
        <v/>
      </c>
      <c r="L834">
        <f>HYPERLINK("https://www.facebook.com/RobertsonIGroup/")</f>
        <v/>
      </c>
      <c r="M834" t="inlineStr">
        <is>
          <t>Leeds, United Kingdom</t>
        </is>
      </c>
      <c r="N834" t="inlineStr">
        <is>
          <t>50</t>
        </is>
      </c>
      <c r="O834" t="inlineStr">
        <is>
          <t>Commercial Real Estate</t>
        </is>
      </c>
      <c r="P834" t="inlineStr">
        <is>
          <t>landlord representation,office properties</t>
        </is>
      </c>
      <c r="Q834" t="inlineStr">
        <is>
          <t>Not Found</t>
        </is>
      </c>
    </row>
    <row r="835">
      <c r="A835" t="inlineStr">
        <is>
          <t>5d54a808f6512502a5bc340e</t>
        </is>
      </c>
      <c r="B835" t="inlineStr">
        <is>
          <t>Awais Riaz</t>
        </is>
      </c>
      <c r="C835">
        <f>HYPERLINK("http://www.linkedin.com/in/riazawais")</f>
        <v/>
      </c>
      <c r="D835" t="inlineStr">
        <is>
          <t>Not Found</t>
        </is>
      </c>
      <c r="E835" t="inlineStr">
        <is>
          <t>Director - Workplace Technology</t>
        </is>
      </c>
      <c r="F835">
        <f>HYPERLINK("https://app.apollo.io/#/people/5d54a808f6512502a5bc340e")</f>
        <v/>
      </c>
      <c r="G835" t="inlineStr">
        <is>
          <t>CBRE Global Workplace Solutions (GWS)</t>
        </is>
      </c>
      <c r="H835">
        <f>HYPERLINK("https://app.apollo.io/#/accounts/6509fed6f449800001b69a15")</f>
        <v/>
      </c>
      <c r="I835">
        <f>HYPERLINK("http://www.coor.com/")</f>
        <v/>
      </c>
      <c r="J835">
        <f>HYPERLINK("http://www.linkedin.com/company/cbre-gws")</f>
        <v/>
      </c>
      <c r="K835">
        <f>HYPERLINK("Not Found")</f>
        <v/>
      </c>
      <c r="L835">
        <f>HYPERLINK("Not Found")</f>
        <v/>
      </c>
      <c r="M835" t="inlineStr">
        <is>
          <t>United Kingdom</t>
        </is>
      </c>
      <c r="N835" t="inlineStr">
        <is>
          <t>15,000</t>
        </is>
      </c>
      <c r="O835" t="inlineStr">
        <is>
          <t>Commercial Real Estate</t>
        </is>
      </c>
      <c r="P835" t="inlineStr">
        <is>
          <t>project management,advisory,transaction services</t>
        </is>
      </c>
      <c r="Q835" t="inlineStr">
        <is>
          <t>Not Found</t>
        </is>
      </c>
    </row>
    <row r="836">
      <c r="A836" t="inlineStr">
        <is>
          <t>5e7a39ce67c33500010d468d</t>
        </is>
      </c>
      <c r="B836" t="inlineStr">
        <is>
          <t>Chris Myers</t>
        </is>
      </c>
      <c r="C836">
        <f>HYPERLINK("http://www.linkedin.com/in/chris-myers-006073152")</f>
        <v/>
      </c>
      <c r="D836" t="inlineStr">
        <is>
          <t>Not Found</t>
        </is>
      </c>
      <c r="E836" t="inlineStr">
        <is>
          <t>Regional Lettings Director</t>
        </is>
      </c>
      <c r="F836">
        <f>HYPERLINK("https://app.apollo.io/#/people/5e7a39ce67c33500010d468d")</f>
        <v/>
      </c>
      <c r="G836" t="inlineStr">
        <is>
          <t>Leaders Romans Group</t>
        </is>
      </c>
      <c r="H836">
        <f>HYPERLINK("https://app.apollo.io/#/accounts/6578b8bc85cede01ae5c466b")</f>
        <v/>
      </c>
      <c r="I836">
        <f>HYPERLINK("http://www.lrg.co.uk/")</f>
        <v/>
      </c>
      <c r="J836">
        <f>HYPERLINK("http://www.linkedin.com/company/leaders-romans-group")</f>
        <v/>
      </c>
      <c r="K836">
        <f>HYPERLINK("Not Found")</f>
        <v/>
      </c>
      <c r="L836">
        <f>HYPERLINK("Not Found")</f>
        <v/>
      </c>
      <c r="M836" t="inlineStr">
        <is>
          <t>United Kingdom</t>
        </is>
      </c>
      <c r="N836" t="inlineStr">
        <is>
          <t>2,600</t>
        </is>
      </c>
      <c r="O836" t="inlineStr">
        <is>
          <t>Commercial Real Estate</t>
        </is>
      </c>
      <c r="P836" t="inlineStr">
        <is>
          <t>estate agency,lettings,property investment</t>
        </is>
      </c>
      <c r="Q836" t="inlineStr">
        <is>
          <t>Not Found</t>
        </is>
      </c>
    </row>
    <row r="837">
      <c r="A837" t="inlineStr">
        <is>
          <t>54abacc474686930074d5505</t>
        </is>
      </c>
      <c r="B837" t="inlineStr">
        <is>
          <t>Dean Spence</t>
        </is>
      </c>
      <c r="C837">
        <f>HYPERLINK("http://www.linkedin.com/in/dean-spence-87bb7858")</f>
        <v/>
      </c>
      <c r="D837" t="inlineStr">
        <is>
          <t>Not Found</t>
        </is>
      </c>
      <c r="E837" t="inlineStr">
        <is>
          <t>HSE Director CBRE</t>
        </is>
      </c>
      <c r="F837">
        <f>HYPERLINK("https://app.apollo.io/#/people/54abacc474686930074d5505")</f>
        <v/>
      </c>
      <c r="G837" t="inlineStr">
        <is>
          <t>CBRE Global Workplace Solutions (GWS)</t>
        </is>
      </c>
      <c r="H837">
        <f>HYPERLINK("https://app.apollo.io/#/accounts/6509fed6f449800001b69a15")</f>
        <v/>
      </c>
      <c r="I837">
        <f>HYPERLINK("http://www.coor.com/")</f>
        <v/>
      </c>
      <c r="J837">
        <f>HYPERLINK("http://www.linkedin.com/company/cbre-gws")</f>
        <v/>
      </c>
      <c r="K837">
        <f>HYPERLINK("Not Found")</f>
        <v/>
      </c>
      <c r="L837">
        <f>HYPERLINK("Not Found")</f>
        <v/>
      </c>
      <c r="M837" t="inlineStr">
        <is>
          <t>United Kingdom</t>
        </is>
      </c>
      <c r="N837" t="inlineStr">
        <is>
          <t>15,000</t>
        </is>
      </c>
      <c r="O837" t="inlineStr">
        <is>
          <t>Commercial Real Estate</t>
        </is>
      </c>
      <c r="P837" t="inlineStr">
        <is>
          <t>project management,advisory,transaction services</t>
        </is>
      </c>
      <c r="Q837" t="inlineStr">
        <is>
          <t>Not Found</t>
        </is>
      </c>
    </row>
    <row r="838">
      <c r="A838" t="inlineStr">
        <is>
          <t>54a8ee0474686930ad336c08</t>
        </is>
      </c>
      <c r="B838" t="inlineStr">
        <is>
          <t>Martin Jolly</t>
        </is>
      </c>
      <c r="C838">
        <f>HYPERLINK("http://www.linkedin.com/in/martinjolly")</f>
        <v/>
      </c>
      <c r="D838" t="inlineStr">
        <is>
          <t>Not Found</t>
        </is>
      </c>
      <c r="E838" t="inlineStr">
        <is>
          <t>Technical Director, BT</t>
        </is>
      </c>
      <c r="F838">
        <f>HYPERLINK("https://app.apollo.io/#/people/54a8ee0474686930ad336c08")</f>
        <v/>
      </c>
      <c r="G838" t="inlineStr">
        <is>
          <t>CBRE Global Workplace Solutions (GWS)</t>
        </is>
      </c>
      <c r="H838">
        <f>HYPERLINK("https://app.apollo.io/#/accounts/6509fed6f449800001b69a15")</f>
        <v/>
      </c>
      <c r="I838">
        <f>HYPERLINK("http://www.coor.com/")</f>
        <v/>
      </c>
      <c r="J838">
        <f>HYPERLINK("http://www.linkedin.com/company/cbre-gws")</f>
        <v/>
      </c>
      <c r="K838">
        <f>HYPERLINK("Not Found")</f>
        <v/>
      </c>
      <c r="L838">
        <f>HYPERLINK("Not Found")</f>
        <v/>
      </c>
      <c r="M838" t="inlineStr">
        <is>
          <t>Orpington, United Kingdom</t>
        </is>
      </c>
      <c r="N838" t="inlineStr">
        <is>
          <t>15,000</t>
        </is>
      </c>
      <c r="O838" t="inlineStr">
        <is>
          <t>Commercial Real Estate</t>
        </is>
      </c>
      <c r="P838" t="inlineStr">
        <is>
          <t>project management,advisory,transaction services</t>
        </is>
      </c>
      <c r="Q838" t="inlineStr">
        <is>
          <t>Not Found</t>
        </is>
      </c>
    </row>
    <row r="839">
      <c r="A839" t="inlineStr">
        <is>
          <t>54a795f4746869730aac2e43</t>
        </is>
      </c>
      <c r="B839" t="inlineStr">
        <is>
          <t>David Strugnell</t>
        </is>
      </c>
      <c r="C839">
        <f>HYPERLINK("http://www.linkedin.com/in/david-strugnell-2b653716")</f>
        <v/>
      </c>
      <c r="D839" t="inlineStr">
        <is>
          <t>Not Found</t>
        </is>
      </c>
      <c r="E839" t="inlineStr">
        <is>
          <t>Business Development Director</t>
        </is>
      </c>
      <c r="F839">
        <f>HYPERLINK("https://app.apollo.io/#/people/54a795f4746869730aac2e43")</f>
        <v/>
      </c>
      <c r="G839" t="inlineStr">
        <is>
          <t>Colliers</t>
        </is>
      </c>
      <c r="H839">
        <f>HYPERLINK("https://app.apollo.io/#/accounts/64aaf6c63d556a0001e8eda6")</f>
        <v/>
      </c>
      <c r="I839">
        <f>HYPERLINK("http://www.colliers.com/")</f>
        <v/>
      </c>
      <c r="J839">
        <f>HYPERLINK("http://www.linkedin.com/company/colliers")</f>
        <v/>
      </c>
      <c r="K839">
        <f>HYPERLINK("https://twitter.com/Colliers")</f>
        <v/>
      </c>
      <c r="L839">
        <f>HYPERLINK("https://facebook.com/colliersinternational/")</f>
        <v/>
      </c>
      <c r="M839" t="inlineStr">
        <is>
          <t>West End, United Kingdom</t>
        </is>
      </c>
      <c r="N839" t="inlineStr">
        <is>
          <t>25,000</t>
        </is>
      </c>
      <c r="O839" t="inlineStr">
        <is>
          <t>Commercial Real Estate</t>
        </is>
      </c>
      <c r="P839" t="inlineStr">
        <is>
          <t>brokerage &amp; agency,corporate solutions</t>
        </is>
      </c>
      <c r="Q839" t="inlineStr">
        <is>
          <t>Not Found</t>
        </is>
      </c>
    </row>
    <row r="840">
      <c r="A840" t="inlineStr">
        <is>
          <t>schellydewitt</t>
        </is>
      </c>
      <c r="C840">
        <f>HYPERLINK("http://www.linkedin.com/in/michelleedewitt")</f>
        <v/>
      </c>
      <c r="D840" t="inlineStr">
        <is>
          <t>Not Found</t>
        </is>
      </c>
      <c r="E840" t="inlineStr">
        <is>
          <t>Strategic Development Director</t>
        </is>
      </c>
      <c r="F840">
        <f>HYPERLINK("https://twitter.com/schellydewitt")</f>
        <v/>
      </c>
      <c r="G840" t="inlineStr">
        <is>
          <t>CBRE Global Workplace Solutions (GWS)</t>
        </is>
      </c>
      <c r="H840">
        <f>HYPERLINK("https://app.apollo.io/#/accounts/6509fed6f449800001b69a15")</f>
        <v/>
      </c>
      <c r="I840">
        <f>HYPERLINK("http://www.coor.com/")</f>
        <v/>
      </c>
      <c r="J840">
        <f>HYPERLINK("http://www.linkedin.com/company/cbre-gws")</f>
        <v/>
      </c>
      <c r="K840">
        <f>HYPERLINK("Not Found")</f>
        <v/>
      </c>
      <c r="L840">
        <f>HYPERLINK("Not Found")</f>
        <v/>
      </c>
      <c r="M840" t="inlineStr">
        <is>
          <t>London, United Kingdom</t>
        </is>
      </c>
      <c r="N840" t="inlineStr">
        <is>
          <t>15,000</t>
        </is>
      </c>
      <c r="O840" t="inlineStr">
        <is>
          <t>Commercial Real Estate</t>
        </is>
      </c>
      <c r="P840" t="inlineStr">
        <is>
          <t>project management,advisory,transaction services</t>
        </is>
      </c>
      <c r="Q840" t="inlineStr">
        <is>
          <t>Not Found</t>
        </is>
      </c>
    </row>
    <row r="841">
      <c r="A841" t="inlineStr">
        <is>
          <t>54a79d7f7468696b7f091245</t>
        </is>
      </c>
      <c r="B841" t="inlineStr">
        <is>
          <t>Ed Pigott</t>
        </is>
      </c>
      <c r="C841">
        <f>HYPERLINK("http://www.linkedin.com/in/ed-pigott-4b5b4899")</f>
        <v/>
      </c>
      <c r="D841" t="inlineStr">
        <is>
          <t>Not Found</t>
        </is>
      </c>
      <c r="E841" t="inlineStr">
        <is>
          <t>Associate Planning Director</t>
        </is>
      </c>
      <c r="F841">
        <f>HYPERLINK("https://app.apollo.io/#/people/54a79d7f7468696b7f091245")</f>
        <v/>
      </c>
      <c r="G841" t="inlineStr">
        <is>
          <t>Newlands Property Developments LLP</t>
        </is>
      </c>
      <c r="H841">
        <f>HYPERLINK("https://app.apollo.io/#/organizations/5da2a196ee571f000133c09a")</f>
        <v/>
      </c>
      <c r="I841">
        <f>HYPERLINK("http://www.newlandsuk.com/")</f>
        <v/>
      </c>
      <c r="J841">
        <f>HYPERLINK("http://www.linkedin.com/company/newlands-property-developments-llp")</f>
        <v/>
      </c>
      <c r="K841">
        <f>HYPERLINK("Not Found")</f>
        <v/>
      </c>
      <c r="L841">
        <f>HYPERLINK("Not Found")</f>
        <v/>
      </c>
      <c r="M841" t="inlineStr">
        <is>
          <t>England, United Kingdom</t>
        </is>
      </c>
      <c r="N841" t="inlineStr">
        <is>
          <t>14</t>
        </is>
      </c>
      <c r="O841" t="inlineStr">
        <is>
          <t>Commercial Real Estate</t>
        </is>
      </c>
      <c r="P841" t="inlineStr">
        <is>
          <t>commercial real estate</t>
        </is>
      </c>
      <c r="Q841" t="inlineStr">
        <is>
          <t>Not Found</t>
        </is>
      </c>
    </row>
    <row r="842">
      <c r="A842" t="inlineStr">
        <is>
          <t>5f2ac7a9d57487008cf9210c</t>
        </is>
      </c>
      <c r="B842" t="inlineStr">
        <is>
          <t>Alexander Shaw</t>
        </is>
      </c>
      <c r="C842">
        <f>HYPERLINK("http://www.linkedin.com/in/alexander-shaw-58435699")</f>
        <v/>
      </c>
      <c r="D842" t="inlineStr">
        <is>
          <t>Not Found</t>
        </is>
      </c>
      <c r="E842" t="inlineStr">
        <is>
          <t>Director, Capital Markets</t>
        </is>
      </c>
      <c r="F842">
        <f>HYPERLINK("https://app.apollo.io/#/people/5f2ac7a9d57487008cf9210c")</f>
        <v/>
      </c>
      <c r="G842" t="inlineStr">
        <is>
          <t>Thor Equities Group</t>
        </is>
      </c>
      <c r="H842">
        <f>HYPERLINK("https://app.apollo.io/#/organizations/54a11d6769702d8aa166f500")</f>
        <v/>
      </c>
      <c r="I842">
        <f>HYPERLINK("http://www.thorequities.com/")</f>
        <v/>
      </c>
      <c r="J842">
        <f>HYPERLINK("http://www.linkedin.com/company/thor-equities")</f>
        <v/>
      </c>
      <c r="K842">
        <f>HYPERLINK("http://twitter.com/ThorEquities")</f>
        <v/>
      </c>
      <c r="L842">
        <f>HYPERLINK("http://www.facebook.com/ThorEquities")</f>
        <v/>
      </c>
      <c r="M842" t="inlineStr">
        <is>
          <t>London, United Kingdom</t>
        </is>
      </c>
      <c r="N842" t="inlineStr">
        <is>
          <t>150</t>
        </is>
      </c>
      <c r="O842" t="inlineStr">
        <is>
          <t>Commercial Real Estate</t>
        </is>
      </c>
      <c r="P842" t="inlineStr">
        <is>
          <t>commercial real estate &amp; real estate development</t>
        </is>
      </c>
      <c r="Q842" t="inlineStr">
        <is>
          <t>Not Found</t>
        </is>
      </c>
    </row>
    <row r="843">
      <c r="A843" t="inlineStr">
        <is>
          <t>54a750d474686975f8fb6c29</t>
        </is>
      </c>
      <c r="B843" t="inlineStr">
        <is>
          <t>A N</t>
        </is>
      </c>
      <c r="C843">
        <f>HYPERLINK("http://www.linkedin.com/in/antonionardi")</f>
        <v/>
      </c>
      <c r="D843" t="inlineStr">
        <is>
          <t>Not Found</t>
        </is>
      </c>
      <c r="E843" t="inlineStr">
        <is>
          <t>Director of Design and Engineering</t>
        </is>
      </c>
      <c r="F843">
        <f>HYPERLINK("https://app.apollo.io/#/people/54a750d474686975f8fb6c29")</f>
        <v/>
      </c>
      <c r="G843" t="inlineStr">
        <is>
          <t>Moodsonic</t>
        </is>
      </c>
      <c r="H843">
        <f>HYPERLINK("https://app.apollo.io/#/organizations/5e574a4d3f150700016bf579")</f>
        <v/>
      </c>
      <c r="I843">
        <f>HYPERLINK("http://www.moodsonic.com/")</f>
        <v/>
      </c>
      <c r="J843">
        <f>HYPERLINK("http://www.linkedin.com/company/moodsonic")</f>
        <v/>
      </c>
      <c r="K843">
        <f>HYPERLINK("https://twitter.com/juliantreasure")</f>
        <v/>
      </c>
      <c r="L843">
        <f>HYPERLINK("Not Found")</f>
        <v/>
      </c>
      <c r="M843" t="inlineStr">
        <is>
          <t>London, United Kingdom</t>
        </is>
      </c>
      <c r="N843" t="inlineStr">
        <is>
          <t>11</t>
        </is>
      </c>
      <c r="O843" t="inlineStr">
        <is>
          <t>Commercial Real Estate</t>
        </is>
      </c>
      <c r="P843" t="inlineStr">
        <is>
          <t>biophilic soundscapes,workplace design</t>
        </is>
      </c>
      <c r="Q843" t="inlineStr">
        <is>
          <t>Not Found</t>
        </is>
      </c>
    </row>
    <row r="844">
      <c r="A844" t="inlineStr">
        <is>
          <t>54a9d2b1746869334a5b2b1a</t>
        </is>
      </c>
      <c r="B844" t="inlineStr">
        <is>
          <t>Tom Smart</t>
        </is>
      </c>
      <c r="C844">
        <f>HYPERLINK("http://www.linkedin.com/in/thomassmart")</f>
        <v/>
      </c>
      <c r="D844" t="inlineStr">
        <is>
          <t>Not Found</t>
        </is>
      </c>
      <c r="E844" t="inlineStr">
        <is>
          <t>Divisional Commercial Director</t>
        </is>
      </c>
      <c r="F844">
        <f>HYPERLINK("https://app.apollo.io/#/people/54a9d2b1746869334a5b2b1a")</f>
        <v/>
      </c>
      <c r="G844" t="inlineStr">
        <is>
          <t>CBRE Global Workplace Solutions (GWS)</t>
        </is>
      </c>
      <c r="H844">
        <f>HYPERLINK("https://app.apollo.io/#/accounts/6509fed6f449800001b69a15")</f>
        <v/>
      </c>
      <c r="I844">
        <f>HYPERLINK("http://www.coor.com/")</f>
        <v/>
      </c>
      <c r="J844">
        <f>HYPERLINK("http://www.linkedin.com/company/cbre-gws")</f>
        <v/>
      </c>
      <c r="K844">
        <f>HYPERLINK("Not Found")</f>
        <v/>
      </c>
      <c r="L844">
        <f>HYPERLINK("Not Found")</f>
        <v/>
      </c>
      <c r="M844" t="inlineStr">
        <is>
          <t>London, United Kingdom</t>
        </is>
      </c>
      <c r="N844" t="inlineStr">
        <is>
          <t>15,000</t>
        </is>
      </c>
      <c r="O844" t="inlineStr">
        <is>
          <t>Commercial Real Estate</t>
        </is>
      </c>
      <c r="P844" t="inlineStr">
        <is>
          <t>project management,advisory,transaction services</t>
        </is>
      </c>
      <c r="Q844" t="inlineStr">
        <is>
          <t>Not Found</t>
        </is>
      </c>
    </row>
    <row r="845">
      <c r="A845" t="inlineStr">
        <is>
          <t>54c1f0be7468697af7f90061</t>
        </is>
      </c>
      <c r="B845" t="inlineStr">
        <is>
          <t>Sophie Buchanan</t>
        </is>
      </c>
      <c r="C845">
        <f>HYPERLINK("http://www.linkedin.com/in/sophiebuchanan")</f>
        <v/>
      </c>
      <c r="D845" t="inlineStr">
        <is>
          <t>Not Found</t>
        </is>
      </c>
      <c r="E845" t="inlineStr">
        <is>
          <t>Global Whitespace Director</t>
        </is>
      </c>
      <c r="F845">
        <f>HYPERLINK("https://app.apollo.io/#/people/54c1f0be7468697af7f90061")</f>
        <v/>
      </c>
      <c r="G845" t="inlineStr">
        <is>
          <t>CBRE Global Workplace Solutions (GWS)</t>
        </is>
      </c>
      <c r="H845">
        <f>HYPERLINK("https://app.apollo.io/#/accounts/6509fed6f449800001b69a15")</f>
        <v/>
      </c>
      <c r="I845">
        <f>HYPERLINK("http://www.coor.com/")</f>
        <v/>
      </c>
      <c r="J845">
        <f>HYPERLINK("http://www.linkedin.com/company/cbre-gws")</f>
        <v/>
      </c>
      <c r="K845">
        <f>HYPERLINK("Not Found")</f>
        <v/>
      </c>
      <c r="L845">
        <f>HYPERLINK("Not Found")</f>
        <v/>
      </c>
      <c r="M845" t="inlineStr">
        <is>
          <t>London, United Kingdom</t>
        </is>
      </c>
      <c r="N845" t="inlineStr">
        <is>
          <t>15,000</t>
        </is>
      </c>
      <c r="O845" t="inlineStr">
        <is>
          <t>Commercial Real Estate</t>
        </is>
      </c>
      <c r="P845" t="inlineStr">
        <is>
          <t>project management,advisory,transaction services</t>
        </is>
      </c>
      <c r="Q845" t="inlineStr">
        <is>
          <t>Not Found</t>
        </is>
      </c>
    </row>
    <row r="846">
      <c r="A846" t="inlineStr">
        <is>
          <t>55714c5473696452f94c7800</t>
        </is>
      </c>
      <c r="B846" t="inlineStr">
        <is>
          <t>Lara Wade</t>
        </is>
      </c>
      <c r="C846">
        <f>HYPERLINK("http://www.linkedin.com/in/lara-wade-47875754")</f>
        <v/>
      </c>
      <c r="D846" t="inlineStr">
        <is>
          <t>Not Found</t>
        </is>
      </c>
      <c r="E846" t="inlineStr">
        <is>
          <t>Business Development Director</t>
        </is>
      </c>
      <c r="F846">
        <f>HYPERLINK("https://app.apollo.io/#/people/55714c5473696452f94c7800")</f>
        <v/>
      </c>
      <c r="G846" t="inlineStr">
        <is>
          <t>CBRE Global Workplace Solutions (GWS)</t>
        </is>
      </c>
      <c r="H846">
        <f>HYPERLINK("https://app.apollo.io/#/accounts/6509fed6f449800001b69a15")</f>
        <v/>
      </c>
      <c r="I846">
        <f>HYPERLINK("http://www.coor.com/")</f>
        <v/>
      </c>
      <c r="J846">
        <f>HYPERLINK("http://www.linkedin.com/company/cbre-gws")</f>
        <v/>
      </c>
      <c r="K846">
        <f>HYPERLINK("Not Found")</f>
        <v/>
      </c>
      <c r="L846">
        <f>HYPERLINK("Not Found")</f>
        <v/>
      </c>
      <c r="M846" t="inlineStr">
        <is>
          <t>Huddersfield, United Kingdom</t>
        </is>
      </c>
      <c r="N846" t="inlineStr">
        <is>
          <t>15,000</t>
        </is>
      </c>
      <c r="O846" t="inlineStr">
        <is>
          <t>Commercial Real Estate</t>
        </is>
      </c>
      <c r="P846" t="inlineStr">
        <is>
          <t>project management,advisory,transaction services</t>
        </is>
      </c>
      <c r="Q846" t="inlineStr">
        <is>
          <t>Not Found</t>
        </is>
      </c>
    </row>
    <row r="847">
      <c r="A847" t="inlineStr">
        <is>
          <t>54ebc8cf746869444c796c24</t>
        </is>
      </c>
      <c r="B847" t="inlineStr">
        <is>
          <t>James Waugh</t>
        </is>
      </c>
      <c r="C847">
        <f>HYPERLINK("http://www.linkedin.com/in/james-waugh-51b2621")</f>
        <v/>
      </c>
      <c r="D847" t="inlineStr">
        <is>
          <t>Not Found</t>
        </is>
      </c>
      <c r="E847" t="inlineStr">
        <is>
          <t>Centre Director Bluewater</t>
        </is>
      </c>
      <c r="F847">
        <f>HYPERLINK("https://app.apollo.io/#/people/54ebc8cf746869444c796c24")</f>
        <v/>
      </c>
      <c r="G847" t="inlineStr">
        <is>
          <t>Landsec</t>
        </is>
      </c>
      <c r="H847">
        <f>HYPERLINK("https://app.apollo.io/#/accounts/6578b86a75dc3a02ccc995c8")</f>
        <v/>
      </c>
      <c r="I847">
        <f>HYPERLINK("http://www.landsec.com/")</f>
        <v/>
      </c>
      <c r="J847">
        <f>HYPERLINK("http://www.linkedin.com/company/landsec")</f>
        <v/>
      </c>
      <c r="K847">
        <f>HYPERLINK("https://twitter.com/landsecgroup?lang=en")</f>
        <v/>
      </c>
      <c r="L847">
        <f>HYPERLINK("https://facebook.com/pages/category/Real-Estate-Company/Landsec-Group-335042077050643/")</f>
        <v/>
      </c>
      <c r="M847" t="inlineStr">
        <is>
          <t>Farnham, United Kingdom</t>
        </is>
      </c>
      <c r="N847" t="inlineStr">
        <is>
          <t>860</t>
        </is>
      </c>
      <c r="O847" t="inlineStr">
        <is>
          <t>Commercial Real Estate</t>
        </is>
      </c>
      <c r="P847" t="inlineStr">
        <is>
          <t>property investment,management &amp; development</t>
        </is>
      </c>
      <c r="Q847" t="inlineStr">
        <is>
          <t>Not Found</t>
        </is>
      </c>
    </row>
    <row r="848">
      <c r="A848" t="inlineStr">
        <is>
          <t>57d466e5a6da9853ae8b9dcf</t>
        </is>
      </c>
      <c r="B848" t="inlineStr">
        <is>
          <t>Phil Moorin</t>
        </is>
      </c>
      <c r="C848">
        <f>HYPERLINK("http://www.linkedin.com/in/phil-moorin-151b60100")</f>
        <v/>
      </c>
      <c r="D848" t="inlineStr">
        <is>
          <t>Not Found</t>
        </is>
      </c>
      <c r="E848" t="inlineStr">
        <is>
          <t>Investment Director</t>
        </is>
      </c>
      <c r="F848">
        <f>HYPERLINK("https://app.apollo.io/#/people/57d466e5a6da9853ae8b9dcf")</f>
        <v/>
      </c>
      <c r="G848" t="inlineStr">
        <is>
          <t>UK Land Estates</t>
        </is>
      </c>
      <c r="H848">
        <f>HYPERLINK("https://app.apollo.io/#/organizations/5569ad9d7369642521937800")</f>
        <v/>
      </c>
      <c r="I848">
        <f>HYPERLINK("http://www.uklandestates.co.uk/")</f>
        <v/>
      </c>
      <c r="J848">
        <f>HYPERLINK("http://www.linkedin.com/company/uk-land-estates")</f>
        <v/>
      </c>
      <c r="K848">
        <f>HYPERLINK("https://twitter.com/uklandestates")</f>
        <v/>
      </c>
      <c r="L848">
        <f>HYPERLINK("Not Found")</f>
        <v/>
      </c>
      <c r="M848" t="inlineStr">
        <is>
          <t>Newcastle upon Tyne, United Kingdom</t>
        </is>
      </c>
      <c r="N848" t="inlineStr">
        <is>
          <t>17</t>
        </is>
      </c>
      <c r="O848" t="inlineStr">
        <is>
          <t>Commercial Real Estate</t>
        </is>
      </c>
      <c r="P848" t="inlineStr">
        <is>
          <t>commerical property,development,investment</t>
        </is>
      </c>
      <c r="Q848" t="inlineStr">
        <is>
          <t>Not Found</t>
        </is>
      </c>
    </row>
    <row r="849">
      <c r="A849" t="inlineStr">
        <is>
          <t>5d65f57af6512506e4310467</t>
        </is>
      </c>
      <c r="B849" t="inlineStr">
        <is>
          <t>Jan Carpenter</t>
        </is>
      </c>
      <c r="C849">
        <f>HYPERLINK("http://www.linkedin.com/in/jan-carpenter-697b64159")</f>
        <v/>
      </c>
      <c r="D849" t="inlineStr">
        <is>
          <t>Not Found</t>
        </is>
      </c>
      <c r="E849" t="inlineStr">
        <is>
          <t>Regional Lettings Director</t>
        </is>
      </c>
      <c r="F849">
        <f>HYPERLINK("https://app.apollo.io/#/people/5d65f57af6512506e4310467")</f>
        <v/>
      </c>
      <c r="G849" t="inlineStr">
        <is>
          <t>Leaders Romans Group</t>
        </is>
      </c>
      <c r="H849">
        <f>HYPERLINK("https://app.apollo.io/#/accounts/6578b8bc85cede01ae5c466b")</f>
        <v/>
      </c>
      <c r="I849">
        <f>HYPERLINK("http://www.lrg.co.uk/")</f>
        <v/>
      </c>
      <c r="J849">
        <f>HYPERLINK("http://www.linkedin.com/company/leaders-romans-group")</f>
        <v/>
      </c>
      <c r="K849">
        <f>HYPERLINK("Not Found")</f>
        <v/>
      </c>
      <c r="L849">
        <f>HYPERLINK("Not Found")</f>
        <v/>
      </c>
      <c r="M849" t="inlineStr">
        <is>
          <t>Royal Leamington Spa, United Kingdom</t>
        </is>
      </c>
      <c r="N849" t="inlineStr">
        <is>
          <t>2,600</t>
        </is>
      </c>
      <c r="O849" t="inlineStr">
        <is>
          <t>Commercial Real Estate</t>
        </is>
      </c>
      <c r="P849" t="inlineStr">
        <is>
          <t>estate agency,lettings,property investment</t>
        </is>
      </c>
      <c r="Q849" t="inlineStr">
        <is>
          <t>Not Found</t>
        </is>
      </c>
    </row>
    <row r="850">
      <c r="A850" t="inlineStr">
        <is>
          <t>5e850dd6b51c370001ce6e22</t>
        </is>
      </c>
      <c r="B850" t="inlineStr">
        <is>
          <t>Kevin Mailey</t>
        </is>
      </c>
      <c r="C850">
        <f>HYPERLINK("http://www.linkedin.com/in/kevin-mailey-6b55b2151")</f>
        <v/>
      </c>
      <c r="D850" t="inlineStr">
        <is>
          <t>Not Found</t>
        </is>
      </c>
      <c r="E850" t="inlineStr">
        <is>
          <t>Director at ATI</t>
        </is>
      </c>
      <c r="F850">
        <f>HYPERLINK("https://app.apollo.io/#/people/5e850dd6b51c370001ce6e22")</f>
        <v/>
      </c>
      <c r="G850" t="inlineStr">
        <is>
          <t>ATI Group</t>
        </is>
      </c>
      <c r="H850">
        <f>HYPERLINK("https://app.apollo.io/#/organizations/5b83eee9324d4418c7acebc3")</f>
        <v/>
      </c>
      <c r="I850">
        <f>HYPERLINK("http://www.atirealty.com/")</f>
        <v/>
      </c>
      <c r="J850">
        <f>HYPERLINK("http://www.linkedin.com/company/ati-group-iowa")</f>
        <v/>
      </c>
      <c r="K850">
        <f>HYPERLINK("Not Found")</f>
        <v/>
      </c>
      <c r="L850">
        <f>HYPERLINK("https://www.facebook.com/ATIGroupLLC")</f>
        <v/>
      </c>
      <c r="M850" t="inlineStr">
        <is>
          <t>Farnham, United Kingdom</t>
        </is>
      </c>
      <c r="N850" t="inlineStr">
        <is>
          <t>5</t>
        </is>
      </c>
      <c r="O850" t="inlineStr">
        <is>
          <t>Commercial Real Estate</t>
        </is>
      </c>
      <c r="P850" t="inlineStr">
        <is>
          <t>commercial development,residential development</t>
        </is>
      </c>
      <c r="Q850" t="inlineStr">
        <is>
          <t>Not Found</t>
        </is>
      </c>
    </row>
    <row r="851">
      <c r="A851" t="inlineStr">
        <is>
          <t>5abf08b2a6da98cf7c4b1ec5</t>
        </is>
      </c>
      <c r="B851" t="inlineStr">
        <is>
          <t>Lucy Thomas</t>
        </is>
      </c>
      <c r="C851">
        <f>HYPERLINK("http://www.linkedin.com/in/lucy-thomas-18a7363")</f>
        <v/>
      </c>
      <c r="D851" t="inlineStr">
        <is>
          <t>Not Found</t>
        </is>
      </c>
      <c r="E851" t="inlineStr">
        <is>
          <t>Workplace Marketing Director</t>
        </is>
      </c>
      <c r="F851">
        <f>HYPERLINK("https://app.apollo.io/#/people/5abf08b2a6da98cf7c4b1ec5")</f>
        <v/>
      </c>
      <c r="G851" t="inlineStr">
        <is>
          <t>Landsec</t>
        </is>
      </c>
      <c r="H851">
        <f>HYPERLINK("https://app.apollo.io/#/accounts/6578b86a75dc3a02ccc995c8")</f>
        <v/>
      </c>
      <c r="I851">
        <f>HYPERLINK("http://www.landsec.com/")</f>
        <v/>
      </c>
      <c r="J851">
        <f>HYPERLINK("http://www.linkedin.com/company/landsec")</f>
        <v/>
      </c>
      <c r="K851">
        <f>HYPERLINK("https://twitter.com/landsecgroup?lang=en")</f>
        <v/>
      </c>
      <c r="L851">
        <f>HYPERLINK("https://facebook.com/pages/category/Real-Estate-Company/Landsec-Group-335042077050643/")</f>
        <v/>
      </c>
      <c r="M851" t="inlineStr">
        <is>
          <t>United Kingdom</t>
        </is>
      </c>
      <c r="N851" t="inlineStr">
        <is>
          <t>860</t>
        </is>
      </c>
      <c r="O851" t="inlineStr">
        <is>
          <t>Commercial Real Estate</t>
        </is>
      </c>
      <c r="P851" t="inlineStr">
        <is>
          <t>property investment,management &amp; development</t>
        </is>
      </c>
      <c r="Q851" t="inlineStr">
        <is>
          <t>Not Found</t>
        </is>
      </c>
    </row>
    <row r="852">
      <c r="A852" t="inlineStr">
        <is>
          <t>54a5446c7468693442195d8a</t>
        </is>
      </c>
      <c r="B852" t="inlineStr">
        <is>
          <t>James Linder</t>
        </is>
      </c>
      <c r="C852">
        <f>HYPERLINK("http://www.linkedin.com/in/james-linder-79715019")</f>
        <v/>
      </c>
      <c r="D852" t="inlineStr">
        <is>
          <t>Not Found</t>
        </is>
      </c>
      <c r="E852" t="inlineStr">
        <is>
          <t>Area Sales Director</t>
        </is>
      </c>
      <c r="F852">
        <f>HYPERLINK("https://app.apollo.io/#/people/54a5446c7468693442195d8a")</f>
        <v/>
      </c>
      <c r="G852" t="inlineStr">
        <is>
          <t>Leaders Romans Group</t>
        </is>
      </c>
      <c r="H852">
        <f>HYPERLINK("https://app.apollo.io/#/accounts/6578b8bc85cede01ae5c466b")</f>
        <v/>
      </c>
      <c r="I852">
        <f>HYPERLINK("http://www.lrg.co.uk/")</f>
        <v/>
      </c>
      <c r="J852">
        <f>HYPERLINK("http://www.linkedin.com/company/leaders-romans-group")</f>
        <v/>
      </c>
      <c r="K852">
        <f>HYPERLINK("Not Found")</f>
        <v/>
      </c>
      <c r="L852">
        <f>HYPERLINK("Not Found")</f>
        <v/>
      </c>
      <c r="M852" t="inlineStr">
        <is>
          <t>Basingstoke, United Kingdom</t>
        </is>
      </c>
      <c r="N852" t="inlineStr">
        <is>
          <t>2,600</t>
        </is>
      </c>
      <c r="O852" t="inlineStr">
        <is>
          <t>Commercial Real Estate</t>
        </is>
      </c>
      <c r="P852" t="inlineStr">
        <is>
          <t>estate agency,lettings,property investment</t>
        </is>
      </c>
      <c r="Q852" t="inlineStr">
        <is>
          <t>Not Found</t>
        </is>
      </c>
    </row>
    <row r="853">
      <c r="A853" t="inlineStr">
        <is>
          <t>610167911abc9b0001698464</t>
        </is>
      </c>
      <c r="B853" t="inlineStr">
        <is>
          <t>Alison Kydd</t>
        </is>
      </c>
      <c r="C853">
        <f>HYPERLINK("http://www.linkedin.com/in/alison-kydd-175a0241")</f>
        <v/>
      </c>
      <c r="D853" t="inlineStr">
        <is>
          <t>Not Found</t>
        </is>
      </c>
      <c r="E853" t="inlineStr">
        <is>
          <t>Divisional Finance Director</t>
        </is>
      </c>
      <c r="F853">
        <f>HYPERLINK("https://app.apollo.io/#/people/610167911abc9b0001698464")</f>
        <v/>
      </c>
      <c r="G853" t="inlineStr">
        <is>
          <t>CBRE Global Workplace Solutions (GWS)</t>
        </is>
      </c>
      <c r="H853">
        <f>HYPERLINK("https://app.apollo.io/#/accounts/6509fed6f449800001b69a15")</f>
        <v/>
      </c>
      <c r="I853">
        <f>HYPERLINK("http://www.coor.com/")</f>
        <v/>
      </c>
      <c r="J853">
        <f>HYPERLINK("http://www.linkedin.com/company/cbre-gws")</f>
        <v/>
      </c>
      <c r="K853">
        <f>HYPERLINK("Not Found")</f>
        <v/>
      </c>
      <c r="L853">
        <f>HYPERLINK("Not Found")</f>
        <v/>
      </c>
      <c r="M853" t="inlineStr">
        <is>
          <t>London, United Kingdom</t>
        </is>
      </c>
      <c r="N853" t="inlineStr">
        <is>
          <t>15,000</t>
        </is>
      </c>
      <c r="O853" t="inlineStr">
        <is>
          <t>Commercial Real Estate</t>
        </is>
      </c>
      <c r="P853" t="inlineStr">
        <is>
          <t>project management,advisory,transaction services</t>
        </is>
      </c>
      <c r="Q853" t="inlineStr">
        <is>
          <t>Not Found</t>
        </is>
      </c>
    </row>
    <row r="854">
      <c r="A854" t="inlineStr">
        <is>
          <t>54a4864f7468693442cd744e</t>
        </is>
      </c>
      <c r="B854" t="inlineStr">
        <is>
          <t>Del Joseph</t>
        </is>
      </c>
      <c r="C854">
        <f>HYPERLINK("http://www.linkedin.com/in/del-joseph-fcca-5622733b")</f>
        <v/>
      </c>
      <c r="D854" t="inlineStr">
        <is>
          <t>Not Found</t>
        </is>
      </c>
      <c r="E854" t="inlineStr">
        <is>
          <t>EMEA Finance Director</t>
        </is>
      </c>
      <c r="F854">
        <f>HYPERLINK("https://app.apollo.io/#/people/54a4864f7468693442cd744e")</f>
        <v/>
      </c>
      <c r="G854" t="inlineStr">
        <is>
          <t>CBRE Global Workplace Solutions (GWS)</t>
        </is>
      </c>
      <c r="H854">
        <f>HYPERLINK("https://app.apollo.io/#/accounts/6509fed6f449800001b69a15")</f>
        <v/>
      </c>
      <c r="I854">
        <f>HYPERLINK("http://www.coor.com/")</f>
        <v/>
      </c>
      <c r="J854">
        <f>HYPERLINK("http://www.linkedin.com/company/cbre-gws")</f>
        <v/>
      </c>
      <c r="K854">
        <f>HYPERLINK("Not Found")</f>
        <v/>
      </c>
      <c r="L854">
        <f>HYPERLINK("Not Found")</f>
        <v/>
      </c>
      <c r="M854" t="inlineStr">
        <is>
          <t>London, United Kingdom</t>
        </is>
      </c>
      <c r="N854" t="inlineStr">
        <is>
          <t>15,000</t>
        </is>
      </c>
      <c r="O854" t="inlineStr">
        <is>
          <t>Commercial Real Estate</t>
        </is>
      </c>
      <c r="P854" t="inlineStr">
        <is>
          <t>project management,advisory,transaction services</t>
        </is>
      </c>
      <c r="Q854" t="inlineStr">
        <is>
          <t>Not Found</t>
        </is>
      </c>
    </row>
    <row r="855">
      <c r="A855" t="inlineStr">
        <is>
          <t>54eaf2f374686931b8db8204</t>
        </is>
      </c>
      <c r="B855" t="inlineStr">
        <is>
          <t>Neil Parker</t>
        </is>
      </c>
      <c r="C855">
        <f>HYPERLINK("http://www.linkedin.com/in/neil-parker-51245438")</f>
        <v/>
      </c>
      <c r="D855" t="inlineStr">
        <is>
          <t>Not Found</t>
        </is>
      </c>
      <c r="E855" t="inlineStr">
        <is>
          <t>Regional Sales Director</t>
        </is>
      </c>
      <c r="F855">
        <f>HYPERLINK("https://app.apollo.io/#/people/54eaf2f374686931b8db8204")</f>
        <v/>
      </c>
      <c r="G855" t="inlineStr">
        <is>
          <t>Leaders Romans Group</t>
        </is>
      </c>
      <c r="H855">
        <f>HYPERLINK("https://app.apollo.io/#/accounts/6578b8bc85cede01ae5c466b")</f>
        <v/>
      </c>
      <c r="I855">
        <f>HYPERLINK("http://www.lrg.co.uk/")</f>
        <v/>
      </c>
      <c r="J855">
        <f>HYPERLINK("http://www.linkedin.com/company/leaders-romans-group")</f>
        <v/>
      </c>
      <c r="K855">
        <f>HYPERLINK("Not Found")</f>
        <v/>
      </c>
      <c r="L855">
        <f>HYPERLINK("Not Found")</f>
        <v/>
      </c>
      <c r="M855" t="inlineStr">
        <is>
          <t>Gosport, United Kingdom</t>
        </is>
      </c>
      <c r="N855" t="inlineStr">
        <is>
          <t>2,600</t>
        </is>
      </c>
      <c r="O855" t="inlineStr">
        <is>
          <t>Commercial Real Estate</t>
        </is>
      </c>
      <c r="P855" t="inlineStr">
        <is>
          <t>estate agency,lettings,property investment</t>
        </is>
      </c>
      <c r="Q855" t="inlineStr">
        <is>
          <t>Not Found</t>
        </is>
      </c>
    </row>
    <row r="856">
      <c r="A856" t="inlineStr">
        <is>
          <t>60cb10bb2e90ec0001884657</t>
        </is>
      </c>
      <c r="B856" t="inlineStr">
        <is>
          <t>Jonathan Page</t>
        </is>
      </c>
      <c r="C856">
        <f>HYPERLINK("http://www.linkedin.com/in/jonathan-page-08335b39")</f>
        <v/>
      </c>
      <c r="D856" t="inlineStr">
        <is>
          <t>Not Found</t>
        </is>
      </c>
      <c r="E856" t="inlineStr">
        <is>
          <t>Group Finance Director</t>
        </is>
      </c>
      <c r="F856">
        <f>HYPERLINK("https://app.apollo.io/#/people/60cb10bb2e90ec0001884657")</f>
        <v/>
      </c>
      <c r="G856" t="inlineStr">
        <is>
          <t>Cobalt Recruitment</t>
        </is>
      </c>
      <c r="H856">
        <f>HYPERLINK("https://app.apollo.io/#/accounts/6578bcb206d0c302d071126c")</f>
        <v/>
      </c>
      <c r="I856">
        <f>HYPERLINK("http://www.cobaltrecruitment.co.uk/")</f>
        <v/>
      </c>
      <c r="J856">
        <f>HYPERLINK("http://www.linkedin.com/company/cobalt-recruitment")</f>
        <v/>
      </c>
      <c r="K856">
        <f>HYPERLINK("https://twitter.com/CobaltRecruit")</f>
        <v/>
      </c>
      <c r="L856">
        <f>HYPERLINK("https://www.facebook.com/cobaltrecruitment/")</f>
        <v/>
      </c>
      <c r="M856" t="inlineStr">
        <is>
          <t>Camberwell, United Kingdom</t>
        </is>
      </c>
      <c r="N856" t="inlineStr">
        <is>
          <t>130</t>
        </is>
      </c>
      <c r="O856" t="inlineStr">
        <is>
          <t>Commercial Real Estate</t>
        </is>
      </c>
      <c r="P856" t="inlineStr">
        <is>
          <t>accounting,real estate,infrastructure,interim</t>
        </is>
      </c>
      <c r="Q856" t="inlineStr">
        <is>
          <t>Not Found</t>
        </is>
      </c>
    </row>
    <row r="857">
      <c r="A857" t="inlineStr">
        <is>
          <t>57e1bbbda6da9857278dc63c</t>
        </is>
      </c>
      <c r="B857" t="inlineStr">
        <is>
          <t>Marc Myers</t>
        </is>
      </c>
      <c r="C857">
        <f>HYPERLINK("http://www.linkedin.com/in/marc-myers-a6695a1a")</f>
        <v/>
      </c>
      <c r="D857" t="inlineStr">
        <is>
          <t>Not Found</t>
        </is>
      </c>
      <c r="E857" t="inlineStr">
        <is>
          <t>Director Of Retail Operations</t>
        </is>
      </c>
      <c r="F857">
        <f>HYPERLINK("https://app.apollo.io/#/people/57e1bbbda6da9857278dc63c")</f>
        <v/>
      </c>
      <c r="G857" t="inlineStr">
        <is>
          <t>Landsec</t>
        </is>
      </c>
      <c r="H857">
        <f>HYPERLINK("https://app.apollo.io/#/accounts/6578b86a75dc3a02ccc995c8")</f>
        <v/>
      </c>
      <c r="I857">
        <f>HYPERLINK("http://www.landsec.com/")</f>
        <v/>
      </c>
      <c r="J857">
        <f>HYPERLINK("http://www.linkedin.com/company/landsec")</f>
        <v/>
      </c>
      <c r="K857">
        <f>HYPERLINK("https://twitter.com/landsecgroup?lang=en")</f>
        <v/>
      </c>
      <c r="L857">
        <f>HYPERLINK("https://facebook.com/pages/category/Real-Estate-Company/Landsec-Group-335042077050643/")</f>
        <v/>
      </c>
      <c r="M857" t="inlineStr">
        <is>
          <t>Chelmsford, United Kingdom</t>
        </is>
      </c>
      <c r="N857" t="inlineStr">
        <is>
          <t>860</t>
        </is>
      </c>
      <c r="O857" t="inlineStr">
        <is>
          <t>Commercial Real Estate</t>
        </is>
      </c>
      <c r="P857" t="inlineStr">
        <is>
          <t>property investment,management &amp; development</t>
        </is>
      </c>
      <c r="Q857" t="inlineStr">
        <is>
          <t>Not Found</t>
        </is>
      </c>
    </row>
    <row r="858">
      <c r="A858" t="inlineStr">
        <is>
          <t>62a10c1d7e56920001ed4873</t>
        </is>
      </c>
      <c r="B858" t="inlineStr">
        <is>
          <t>Rebecca Nathan</t>
        </is>
      </c>
      <c r="C858">
        <f>HYPERLINK("http://www.linkedin.com/in/rebecca-nathan-949594a")</f>
        <v/>
      </c>
      <c r="D858" t="inlineStr">
        <is>
          <t>Not Found</t>
        </is>
      </c>
      <c r="E858" t="inlineStr">
        <is>
          <t>Global Operations Director</t>
        </is>
      </c>
      <c r="F858">
        <f>HYPERLINK("https://app.apollo.io/#/people/62a10c1d7e56920001ed4873")</f>
        <v/>
      </c>
      <c r="G858" t="inlineStr">
        <is>
          <t>CBRE Global Workplace Solutions (GWS)</t>
        </is>
      </c>
      <c r="H858">
        <f>HYPERLINK("https://app.apollo.io/#/accounts/6509fed6f449800001b69a15")</f>
        <v/>
      </c>
      <c r="I858">
        <f>HYPERLINK("http://www.coor.com/")</f>
        <v/>
      </c>
      <c r="J858">
        <f>HYPERLINK("http://www.linkedin.com/company/cbre-gws")</f>
        <v/>
      </c>
      <c r="K858">
        <f>HYPERLINK("Not Found")</f>
        <v/>
      </c>
      <c r="L858">
        <f>HYPERLINK("Not Found")</f>
        <v/>
      </c>
      <c r="M858" t="inlineStr">
        <is>
          <t>London, United Kingdom</t>
        </is>
      </c>
      <c r="N858" t="inlineStr">
        <is>
          <t>15,000</t>
        </is>
      </c>
      <c r="O858" t="inlineStr">
        <is>
          <t>Commercial Real Estate</t>
        </is>
      </c>
      <c r="P858" t="inlineStr">
        <is>
          <t>project management,advisory,transaction services</t>
        </is>
      </c>
      <c r="Q858" t="inlineStr">
        <is>
          <t>Not Found</t>
        </is>
      </c>
    </row>
    <row r="859">
      <c r="A859" t="inlineStr">
        <is>
          <t>54c1d7c47468697af77df050</t>
        </is>
      </c>
      <c r="B859" t="inlineStr">
        <is>
          <t>Sarah Roche</t>
        </is>
      </c>
      <c r="C859">
        <f>HYPERLINK("http://www.linkedin.com/in/sarah-la-roche-38334b26")</f>
        <v/>
      </c>
      <c r="D859" t="inlineStr">
        <is>
          <t>Not Found</t>
        </is>
      </c>
      <c r="E859" t="inlineStr">
        <is>
          <t>HR Director</t>
        </is>
      </c>
      <c r="F859">
        <f>HYPERLINK("https://app.apollo.io/#/people/54c1d7c47468697af77df050")</f>
        <v/>
      </c>
      <c r="G859" t="inlineStr">
        <is>
          <t>CBRE Global Workplace Solutions (GWS)</t>
        </is>
      </c>
      <c r="H859">
        <f>HYPERLINK("https://app.apollo.io/#/accounts/6509fed6f449800001b69a15")</f>
        <v/>
      </c>
      <c r="I859">
        <f>HYPERLINK("http://www.coor.com/")</f>
        <v/>
      </c>
      <c r="J859">
        <f>HYPERLINK("http://www.linkedin.com/company/cbre-gws")</f>
        <v/>
      </c>
      <c r="K859">
        <f>HYPERLINK("Not Found")</f>
        <v/>
      </c>
      <c r="L859">
        <f>HYPERLINK("Not Found")</f>
        <v/>
      </c>
      <c r="M859" t="inlineStr">
        <is>
          <t>London, United Kingdom</t>
        </is>
      </c>
      <c r="N859" t="inlineStr">
        <is>
          <t>15,000</t>
        </is>
      </c>
      <c r="O859" t="inlineStr">
        <is>
          <t>Commercial Real Estate</t>
        </is>
      </c>
      <c r="P859" t="inlineStr">
        <is>
          <t>project management,advisory,transaction services</t>
        </is>
      </c>
      <c r="Q859" t="inlineStr">
        <is>
          <t>Not Found</t>
        </is>
      </c>
    </row>
    <row r="860">
      <c r="A860" t="inlineStr">
        <is>
          <t>54a3b3097468692fa21eca0b</t>
        </is>
      </c>
      <c r="B860" t="inlineStr">
        <is>
          <t>Holly Mrtpi</t>
        </is>
      </c>
      <c r="C860">
        <f>HYPERLINK("http://www.linkedin.com/in/hollygillingham")</f>
        <v/>
      </c>
      <c r="D860" t="inlineStr">
        <is>
          <t>Not Found</t>
        </is>
      </c>
      <c r="E860" t="inlineStr">
        <is>
          <t>Associate Planning Director</t>
        </is>
      </c>
      <c r="F860">
        <f>HYPERLINK("https://app.apollo.io/#/people/54a3b3097468692fa21eca0b")</f>
        <v/>
      </c>
      <c r="G860" t="inlineStr">
        <is>
          <t>Colliers</t>
        </is>
      </c>
      <c r="H860">
        <f>HYPERLINK("https://app.apollo.io/#/accounts/64aaf6c63d556a0001e8eda6")</f>
        <v/>
      </c>
      <c r="I860">
        <f>HYPERLINK("http://www.colliers.com/")</f>
        <v/>
      </c>
      <c r="J860">
        <f>HYPERLINK("http://www.linkedin.com/company/colliers")</f>
        <v/>
      </c>
      <c r="K860">
        <f>HYPERLINK("https://twitter.com/Colliers")</f>
        <v/>
      </c>
      <c r="L860">
        <f>HYPERLINK("https://facebook.com/colliersinternational/")</f>
        <v/>
      </c>
      <c r="M860" t="inlineStr">
        <is>
          <t>Edinburgh, United Kingdom</t>
        </is>
      </c>
      <c r="N860" t="inlineStr">
        <is>
          <t>25,000</t>
        </is>
      </c>
      <c r="O860" t="inlineStr">
        <is>
          <t>Commercial Real Estate</t>
        </is>
      </c>
      <c r="P860" t="inlineStr">
        <is>
          <t>brokerage &amp; agency,corporate solutions,investment services</t>
        </is>
      </c>
      <c r="Q860" t="inlineStr">
        <is>
          <t>Not Found</t>
        </is>
      </c>
    </row>
    <row r="861">
      <c r="A861" t="inlineStr">
        <is>
          <t>60f3b823d8f85000015b29c4</t>
        </is>
      </c>
      <c r="B861" t="inlineStr">
        <is>
          <t>Peter Burnell-Jones</t>
        </is>
      </c>
      <c r="C861">
        <f>HYPERLINK("http://www.linkedin.com/in/peter-burnell-jones-a1049518")</f>
        <v/>
      </c>
      <c r="D861" t="inlineStr">
        <is>
          <t>Not Found</t>
        </is>
      </c>
      <c r="E861" t="inlineStr">
        <is>
          <t>Business Development Director</t>
        </is>
      </c>
      <c r="F861">
        <f>HYPERLINK("https://app.apollo.io/#/people/60f3b823d8f85000015b29c4")</f>
        <v/>
      </c>
      <c r="G861" t="inlineStr">
        <is>
          <t>CBRE Global Workplace Solutions (GWS)</t>
        </is>
      </c>
      <c r="H861">
        <f>HYPERLINK("https://app.apollo.io/#/accounts/6509fed6f449800001b69a15")</f>
        <v/>
      </c>
      <c r="I861">
        <f>HYPERLINK("http://www.coor.com/")</f>
        <v/>
      </c>
      <c r="J861">
        <f>HYPERLINK("http://www.linkedin.com/company/cbre-gws")</f>
        <v/>
      </c>
      <c r="K861">
        <f>HYPERLINK("Not Found")</f>
        <v/>
      </c>
      <c r="L861">
        <f>HYPERLINK("Not Found")</f>
        <v/>
      </c>
      <c r="M861" t="inlineStr">
        <is>
          <t>London, United Kingdom</t>
        </is>
      </c>
      <c r="N861" t="inlineStr">
        <is>
          <t>15,000</t>
        </is>
      </c>
      <c r="O861" t="inlineStr">
        <is>
          <t>Commercial Real Estate</t>
        </is>
      </c>
      <c r="P861" t="inlineStr">
        <is>
          <t>project management,advisory,transaction services</t>
        </is>
      </c>
      <c r="Q861" t="inlineStr">
        <is>
          <t>Not Found</t>
        </is>
      </c>
    </row>
    <row r="862">
      <c r="A862" t="inlineStr">
        <is>
          <t>6533c8a04210cc000138f096</t>
        </is>
      </c>
      <c r="B862" t="inlineStr">
        <is>
          <t>Mark Trueman</t>
        </is>
      </c>
      <c r="C862">
        <f>HYPERLINK("http://www.linkedin.com/in/mark-trueman-4246848")</f>
        <v/>
      </c>
      <c r="D862" t="inlineStr">
        <is>
          <t>Not Found</t>
        </is>
      </c>
      <c r="E862" t="inlineStr">
        <is>
          <t>Global Technical Director</t>
        </is>
      </c>
      <c r="F862">
        <f>HYPERLINK("https://app.apollo.io/#/people/6533c8a04210cc000138f096")</f>
        <v/>
      </c>
      <c r="G862" t="inlineStr">
        <is>
          <t>CBRE Global Workplace Solutions (GWS)</t>
        </is>
      </c>
      <c r="H862">
        <f>HYPERLINK("https://app.apollo.io/#/accounts/6509fed6f449800001b69a15")</f>
        <v/>
      </c>
      <c r="I862">
        <f>HYPERLINK("http://www.coor.com/")</f>
        <v/>
      </c>
      <c r="J862">
        <f>HYPERLINK("http://www.linkedin.com/company/cbre-gws")</f>
        <v/>
      </c>
      <c r="K862">
        <f>HYPERLINK("Not Found")</f>
        <v/>
      </c>
      <c r="L862">
        <f>HYPERLINK("Not Found")</f>
        <v/>
      </c>
      <c r="M862" t="inlineStr">
        <is>
          <t>Bromsgrove, United Kingdom</t>
        </is>
      </c>
      <c r="N862" t="inlineStr">
        <is>
          <t>15,000</t>
        </is>
      </c>
      <c r="O862" t="inlineStr">
        <is>
          <t>Commercial Real Estate</t>
        </is>
      </c>
      <c r="P862" t="inlineStr">
        <is>
          <t>project management,advisory,transaction services</t>
        </is>
      </c>
      <c r="Q862" t="inlineStr">
        <is>
          <t>Not Found</t>
        </is>
      </c>
    </row>
    <row r="863">
      <c r="A863" t="inlineStr">
        <is>
          <t>54a2fbd174686935be5fce4b</t>
        </is>
      </c>
      <c r="B863" t="inlineStr">
        <is>
          <t>Hannah Zitren</t>
        </is>
      </c>
      <c r="C863">
        <f>HYPERLINK("http://www.linkedin.com/in/hannah-zitren-30304724")</f>
        <v/>
      </c>
      <c r="D863" t="inlineStr">
        <is>
          <t>Not Found</t>
        </is>
      </c>
      <c r="E863" t="inlineStr">
        <is>
          <t>Associate Director (PR)</t>
        </is>
      </c>
      <c r="F863">
        <f>HYPERLINK("https://app.apollo.io/#/people/54a2fbd174686935be5fce4b")</f>
        <v/>
      </c>
      <c r="G863" t="inlineStr">
        <is>
          <t>Colliers</t>
        </is>
      </c>
      <c r="H863">
        <f>HYPERLINK("https://app.apollo.io/#/accounts/64aaf6c63d556a0001e8eda6")</f>
        <v/>
      </c>
      <c r="I863">
        <f>HYPERLINK("http://www.colliers.com/")</f>
        <v/>
      </c>
      <c r="J863">
        <f>HYPERLINK("http://www.linkedin.com/company/colliers")</f>
        <v/>
      </c>
      <c r="K863">
        <f>HYPERLINK("https://twitter.com/Colliers")</f>
        <v/>
      </c>
      <c r="L863">
        <f>HYPERLINK("https://facebook.com/colliersinternational/")</f>
        <v/>
      </c>
      <c r="M863" t="inlineStr">
        <is>
          <t>Manchester, United Kingdom</t>
        </is>
      </c>
      <c r="N863" t="inlineStr">
        <is>
          <t>25,000</t>
        </is>
      </c>
      <c r="O863" t="inlineStr">
        <is>
          <t>Commercial Real Estate</t>
        </is>
      </c>
      <c r="P863" t="inlineStr">
        <is>
          <t>brokerage &amp; agency,corporate solutions,investment services</t>
        </is>
      </c>
      <c r="Q863" t="inlineStr">
        <is>
          <t>Not Found</t>
        </is>
      </c>
    </row>
    <row r="864">
      <c r="A864" t="inlineStr">
        <is>
          <t>6101671e9ef96900017355c2</t>
        </is>
      </c>
      <c r="B864" t="inlineStr">
        <is>
          <t>Andy Kirwan</t>
        </is>
      </c>
      <c r="C864">
        <f>HYPERLINK("http://www.linkedin.com/in/andy-kirwan-369ab6114")</f>
        <v/>
      </c>
      <c r="D864" t="inlineStr">
        <is>
          <t>Not Found</t>
        </is>
      </c>
      <c r="E864" t="inlineStr">
        <is>
          <t>Divisional Finance Director</t>
        </is>
      </c>
      <c r="F864">
        <f>HYPERLINK("https://app.apollo.io/#/people/6101671e9ef96900017355c2")</f>
        <v/>
      </c>
      <c r="G864" t="inlineStr">
        <is>
          <t>CBRE Global Workplace Solutions (GWS)</t>
        </is>
      </c>
      <c r="H864">
        <f>HYPERLINK("https://app.apollo.io/#/accounts/6509fed6f449800001b69a15")</f>
        <v/>
      </c>
      <c r="I864">
        <f>HYPERLINK("http://www.coor.com/")</f>
        <v/>
      </c>
      <c r="J864">
        <f>HYPERLINK("http://www.linkedin.com/company/cbre-gws")</f>
        <v/>
      </c>
      <c r="K864">
        <f>HYPERLINK("Not Found")</f>
        <v/>
      </c>
      <c r="L864">
        <f>HYPERLINK("Not Found")</f>
        <v/>
      </c>
      <c r="M864" t="inlineStr">
        <is>
          <t>Chelmsford, United Kingdom</t>
        </is>
      </c>
      <c r="N864" t="inlineStr">
        <is>
          <t>15,000</t>
        </is>
      </c>
      <c r="O864" t="inlineStr">
        <is>
          <t>Commercial Real Estate</t>
        </is>
      </c>
      <c r="P864" t="inlineStr">
        <is>
          <t>project management,advisory,transaction services</t>
        </is>
      </c>
      <c r="Q864" t="inlineStr">
        <is>
          <t>Not Found</t>
        </is>
      </c>
    </row>
    <row r="865">
      <c r="A865" t="inlineStr">
        <is>
          <t>54a77a0074686965d9db8338</t>
        </is>
      </c>
      <c r="B865" t="inlineStr">
        <is>
          <t>Greg Parker</t>
        </is>
      </c>
      <c r="C865">
        <f>HYPERLINK("http://www.linkedin.com/in/greg-parker-593b1910")</f>
        <v/>
      </c>
      <c r="D865" t="inlineStr">
        <is>
          <t>Not Found</t>
        </is>
      </c>
      <c r="E865" t="inlineStr">
        <is>
          <t>Senior Managing Director</t>
        </is>
      </c>
      <c r="F865">
        <f>HYPERLINK("https://app.apollo.io/#/people/54a77a0074686965d9db8338")</f>
        <v/>
      </c>
      <c r="G865" t="inlineStr">
        <is>
          <t>CBRE Global Workplace Solutions (GWS)</t>
        </is>
      </c>
      <c r="H865">
        <f>HYPERLINK("https://app.apollo.io/#/accounts/6509fed6f449800001b69a15")</f>
        <v/>
      </c>
      <c r="I865">
        <f>HYPERLINK("http://www.coor.com/")</f>
        <v/>
      </c>
      <c r="J865">
        <f>HYPERLINK("http://www.linkedin.com/company/cbre-gws")</f>
        <v/>
      </c>
      <c r="K865">
        <f>HYPERLINK("Not Found")</f>
        <v/>
      </c>
      <c r="L865">
        <f>HYPERLINK("Not Found")</f>
        <v/>
      </c>
      <c r="M865" t="inlineStr">
        <is>
          <t>Farnham, United Kingdom</t>
        </is>
      </c>
      <c r="N865" t="inlineStr">
        <is>
          <t>15,000</t>
        </is>
      </c>
      <c r="O865" t="inlineStr">
        <is>
          <t>Commercial Real Estate</t>
        </is>
      </c>
      <c r="P865" t="inlineStr">
        <is>
          <t>project management,advisory,transaction services</t>
        </is>
      </c>
      <c r="Q865" t="inlineStr">
        <is>
          <t>Not Found</t>
        </is>
      </c>
    </row>
    <row r="866">
      <c r="A866" t="inlineStr">
        <is>
          <t>60c22d469111100001a45f17</t>
        </is>
      </c>
      <c r="B866" t="inlineStr">
        <is>
          <t>Daniel Burningham</t>
        </is>
      </c>
      <c r="C866">
        <f>HYPERLINK("http://www.linkedin.com/in/daniel-burningham-miet-a35b1857")</f>
        <v/>
      </c>
      <c r="D866" t="inlineStr">
        <is>
          <t>Not Found</t>
        </is>
      </c>
      <c r="E866" t="inlineStr">
        <is>
          <t>Divisional Technical Director</t>
        </is>
      </c>
      <c r="F866">
        <f>HYPERLINK("https://app.apollo.io/#/people/60c22d469111100001a45f17")</f>
        <v/>
      </c>
      <c r="G866" t="inlineStr">
        <is>
          <t>CBRE Global Workplace Solutions (GWS)</t>
        </is>
      </c>
      <c r="H866">
        <f>HYPERLINK("https://app.apollo.io/#/accounts/6509fed6f449800001b69a15")</f>
        <v/>
      </c>
      <c r="I866">
        <f>HYPERLINK("http://www.coor.com/")</f>
        <v/>
      </c>
      <c r="J866">
        <f>HYPERLINK("http://www.linkedin.com/company/cbre-gws")</f>
        <v/>
      </c>
      <c r="K866">
        <f>HYPERLINK("Not Found")</f>
        <v/>
      </c>
      <c r="L866">
        <f>HYPERLINK("Not Found")</f>
        <v/>
      </c>
      <c r="M866" t="inlineStr">
        <is>
          <t>Guildford, United Kingdom</t>
        </is>
      </c>
      <c r="N866" t="inlineStr">
        <is>
          <t>15,000</t>
        </is>
      </c>
      <c r="O866" t="inlineStr">
        <is>
          <t>Commercial Real Estate</t>
        </is>
      </c>
      <c r="P866" t="inlineStr">
        <is>
          <t>project management,advisory,transaction services</t>
        </is>
      </c>
      <c r="Q866" t="inlineStr">
        <is>
          <t>Not Found</t>
        </is>
      </c>
    </row>
    <row r="867">
      <c r="A867" t="inlineStr">
        <is>
          <t>54a38f837468692cf041bc02</t>
        </is>
      </c>
      <c r="B867" t="inlineStr">
        <is>
          <t>William Gaunt</t>
        </is>
      </c>
      <c r="C867">
        <f>HYPERLINK("http://www.linkedin.com/in/wgaunt")</f>
        <v/>
      </c>
      <c r="D867" t="inlineStr">
        <is>
          <t>Not Found</t>
        </is>
      </c>
      <c r="E867" t="inlineStr">
        <is>
          <t>Joint Managing Director</t>
        </is>
      </c>
      <c r="F867">
        <f>HYPERLINK("https://app.apollo.io/#/people/54a38f837468692cf041bc02")</f>
        <v/>
      </c>
      <c r="G867" t="inlineStr">
        <is>
          <t>Sunny Bank Mills</t>
        </is>
      </c>
      <c r="H867">
        <f>HYPERLINK("https://app.apollo.io/#/organizations/5a9cbf22a6da98d98c66c7b2")</f>
        <v/>
      </c>
      <c r="I867">
        <f>HYPERLINK("http://www.sunnybankmills.co.uk/")</f>
        <v/>
      </c>
      <c r="J867">
        <f>HYPERLINK("http://www.linkedin.com/company/sunnybankmills")</f>
        <v/>
      </c>
      <c r="K867">
        <f>HYPERLINK("https://twitter.com/sunnybankmills")</f>
        <v/>
      </c>
      <c r="L867">
        <f>HYPERLINK("https://facebook.com/sunnybankmillsgallery")</f>
        <v/>
      </c>
      <c r="M867" t="inlineStr">
        <is>
          <t>Ripon, United Kingdom</t>
        </is>
      </c>
      <c r="N867" t="inlineStr">
        <is>
          <t>9</t>
        </is>
      </c>
      <c r="O867" t="inlineStr">
        <is>
          <t>Commercial Real Estate</t>
        </is>
      </c>
      <c r="P867" t="inlineStr">
        <is>
          <t>art,archive,commercial real estate,textiles</t>
        </is>
      </c>
      <c r="Q867" t="inlineStr">
        <is>
          <t>Not Found</t>
        </is>
      </c>
    </row>
    <row r="868">
      <c r="A868" t="inlineStr">
        <is>
          <t>60ce57dd4b4a6300017df948</t>
        </is>
      </c>
      <c r="B868" t="inlineStr">
        <is>
          <t>Cathy Potts</t>
        </is>
      </c>
      <c r="C868">
        <f>HYPERLINK("http://www.linkedin.com/in/cathy-potts-a4a7a720")</f>
        <v/>
      </c>
      <c r="D868" t="inlineStr">
        <is>
          <t>Not Found</t>
        </is>
      </c>
      <c r="E868" t="inlineStr">
        <is>
          <t>HR Director</t>
        </is>
      </c>
      <c r="F868">
        <f>HYPERLINK("https://app.apollo.io/#/people/60ce57dd4b4a6300017df948")</f>
        <v/>
      </c>
      <c r="G868" t="inlineStr">
        <is>
          <t>Go Plant Fleet Services Ltd</t>
        </is>
      </c>
      <c r="H868">
        <f>HYPERLINK("https://app.apollo.io/#/accounts/6578aea803912001ae665add")</f>
        <v/>
      </c>
      <c r="I868">
        <f>HYPERLINK("http://www.go-plant.co.uk/")</f>
        <v/>
      </c>
      <c r="J868">
        <f>HYPERLINK("http://www.linkedin.com/company/go-plant-fleet-services-ltd")</f>
        <v/>
      </c>
      <c r="K868">
        <f>HYPERLINK("Not Found")</f>
        <v/>
      </c>
      <c r="L868">
        <f>HYPERLINK("https://www.facebook.com/GoPlantFleetServices/")</f>
        <v/>
      </c>
      <c r="M868" t="inlineStr">
        <is>
          <t>England, United Kingdom</t>
        </is>
      </c>
      <c r="N868" t="inlineStr">
        <is>
          <t>220</t>
        </is>
      </c>
      <c r="O868" t="inlineStr">
        <is>
          <t>Commercial Real Estate</t>
        </is>
      </c>
      <c r="P868" t="inlineStr">
        <is>
          <t>fleet management &amp; maintenance,extensive fleet operating knowledge</t>
        </is>
      </c>
      <c r="Q868" t="inlineStr">
        <is>
          <t>Not Found</t>
        </is>
      </c>
    </row>
    <row r="869">
      <c r="A869" t="inlineStr">
        <is>
          <t>54a3acdb7468692fa2f9bf09</t>
        </is>
      </c>
      <c r="B869" t="inlineStr">
        <is>
          <t>Mark Elbourne</t>
        </is>
      </c>
      <c r="C869">
        <f>HYPERLINK("http://www.linkedin.com/in/mark-elbourne-9b49ba47")</f>
        <v/>
      </c>
      <c r="D869" t="inlineStr">
        <is>
          <t>Not Found</t>
        </is>
      </c>
      <c r="E869" t="inlineStr">
        <is>
          <t>Director - Licensed &amp; Leisure</t>
        </is>
      </c>
      <c r="F869">
        <f>HYPERLINK("https://app.apollo.io/#/people/54a3acdb7468692fa2f9bf09")</f>
        <v/>
      </c>
      <c r="G869" t="inlineStr">
        <is>
          <t>Colliers</t>
        </is>
      </c>
      <c r="H869">
        <f>HYPERLINK("https://app.apollo.io/#/accounts/64aaf6c63d556a0001e8eda6")</f>
        <v/>
      </c>
      <c r="I869">
        <f>HYPERLINK("http://www.colliers.com/")</f>
        <v/>
      </c>
      <c r="J869">
        <f>HYPERLINK("http://www.linkedin.com/company/colliers")</f>
        <v/>
      </c>
      <c r="K869">
        <f>HYPERLINK("https://twitter.com/Colliers")</f>
        <v/>
      </c>
      <c r="L869">
        <f>HYPERLINK("https://facebook.com/colliersinternational/")</f>
        <v/>
      </c>
      <c r="M869" t="inlineStr">
        <is>
          <t>London, United Kingdom</t>
        </is>
      </c>
      <c r="N869" t="inlineStr">
        <is>
          <t>25,000</t>
        </is>
      </c>
      <c r="O869" t="inlineStr">
        <is>
          <t>Commercial Real Estate</t>
        </is>
      </c>
      <c r="P869" t="inlineStr">
        <is>
          <t>brokerage &amp; agency,corporate solutions,investment services</t>
        </is>
      </c>
      <c r="Q869" t="inlineStr">
        <is>
          <t>Not Found</t>
        </is>
      </c>
    </row>
    <row r="870">
      <c r="A870" t="inlineStr">
        <is>
          <t>6475d6f2be5b060001a05bbf</t>
        </is>
      </c>
      <c r="B870" t="inlineStr">
        <is>
          <t>Alex White</t>
        </is>
      </c>
      <c r="C870">
        <f>HYPERLINK("http://www.linkedin.com/in/businessrates")</f>
        <v/>
      </c>
      <c r="D870" t="inlineStr">
        <is>
          <t>Not Found</t>
        </is>
      </c>
      <c r="E870" t="inlineStr">
        <is>
          <t>Director - Business Rates</t>
        </is>
      </c>
      <c r="F870">
        <f>HYPERLINK("https://app.apollo.io/#/people/6475d6f2be5b060001a05bbf")</f>
        <v/>
      </c>
      <c r="G870" t="inlineStr">
        <is>
          <t>Colliers</t>
        </is>
      </c>
      <c r="H870">
        <f>HYPERLINK("https://app.apollo.io/#/accounts/6578c2e248f92e02cc97a7cd")</f>
        <v/>
      </c>
      <c r="I870">
        <f>HYPERLINK("http://www.colliers.com/")</f>
        <v/>
      </c>
      <c r="J870">
        <f>HYPERLINK("http://www.linkedin.com/company/colliers")</f>
        <v/>
      </c>
      <c r="K870">
        <f>HYPERLINK("https://twitter.com/collierscanada")</f>
        <v/>
      </c>
      <c r="L870">
        <f>HYPERLINK("Not Found")</f>
        <v/>
      </c>
      <c r="M870" t="inlineStr">
        <is>
          <t>London, United Kingdom</t>
        </is>
      </c>
      <c r="N870" t="inlineStr">
        <is>
          <t>25,000</t>
        </is>
      </c>
      <c r="O870" t="inlineStr">
        <is>
          <t>Commercial Real Estate</t>
        </is>
      </c>
      <c r="P870" t="inlineStr">
        <is>
          <t>brokerage &amp; agency,corporate solutions,investment services</t>
        </is>
      </c>
      <c r="Q870" t="inlineStr">
        <is>
          <t>Not Found</t>
        </is>
      </c>
    </row>
    <row r="871">
      <c r="A871" t="inlineStr">
        <is>
          <t>5ab60555a6da98b6325d4cd0</t>
        </is>
      </c>
      <c r="B871" t="inlineStr">
        <is>
          <t>Kevin Kearns</t>
        </is>
      </c>
      <c r="C871">
        <f>HYPERLINK("http://www.linkedin.com/in/kevin-kearns-76a8892a")</f>
        <v/>
      </c>
      <c r="D871" t="inlineStr">
        <is>
          <t>Not Found</t>
        </is>
      </c>
      <c r="E871" t="inlineStr">
        <is>
          <t>EMEA Executive Director</t>
        </is>
      </c>
      <c r="F871">
        <f>HYPERLINK("https://app.apollo.io/#/people/5ab60555a6da98b6325d4cd0")</f>
        <v/>
      </c>
      <c r="G871" t="inlineStr">
        <is>
          <t>CBRE Global Workplace Solutions (GWS)</t>
        </is>
      </c>
      <c r="H871">
        <f>HYPERLINK("https://app.apollo.io/#/accounts/6509fed6f449800001b69a15")</f>
        <v/>
      </c>
      <c r="I871">
        <f>HYPERLINK("http://www.coor.com/")</f>
        <v/>
      </c>
      <c r="J871">
        <f>HYPERLINK("http://www.linkedin.com/company/cbre-gws")</f>
        <v/>
      </c>
      <c r="K871">
        <f>HYPERLINK("Not Found")</f>
        <v/>
      </c>
      <c r="L871">
        <f>HYPERLINK("Not Found")</f>
        <v/>
      </c>
      <c r="M871" t="inlineStr">
        <is>
          <t>Swindon, United Kingdom</t>
        </is>
      </c>
      <c r="N871" t="inlineStr">
        <is>
          <t>15,000</t>
        </is>
      </c>
      <c r="O871" t="inlineStr">
        <is>
          <t>Commercial Real Estate</t>
        </is>
      </c>
      <c r="P871" t="inlineStr">
        <is>
          <t>project management,advisory,transaction services</t>
        </is>
      </c>
      <c r="Q871" t="inlineStr">
        <is>
          <t>Not Found</t>
        </is>
      </c>
    </row>
    <row r="872">
      <c r="A872" t="inlineStr">
        <is>
          <t>5ac131e4a6da98cec978a7c3</t>
        </is>
      </c>
      <c r="B872" t="inlineStr">
        <is>
          <t>Matt Turner</t>
        </is>
      </c>
      <c r="C872">
        <f>HYPERLINK("http://www.linkedin.com/in/matt-turner-89081650")</f>
        <v/>
      </c>
      <c r="D872" t="inlineStr">
        <is>
          <t>Not Found</t>
        </is>
      </c>
      <c r="E872" t="inlineStr">
        <is>
          <t>Global Commercial Director</t>
        </is>
      </c>
      <c r="F872">
        <f>HYPERLINK("https://app.apollo.io/#/people/5ac131e4a6da98cec978a7c3")</f>
        <v/>
      </c>
      <c r="G872" t="inlineStr">
        <is>
          <t>CBRE Global Workplace Solutions (GWS)</t>
        </is>
      </c>
      <c r="H872">
        <f>HYPERLINK("https://app.apollo.io/#/accounts/6509fed6f449800001b69a15")</f>
        <v/>
      </c>
      <c r="I872">
        <f>HYPERLINK("http://www.coor.com/")</f>
        <v/>
      </c>
      <c r="J872">
        <f>HYPERLINK("http://www.linkedin.com/company/cbre-gws")</f>
        <v/>
      </c>
      <c r="K872">
        <f>HYPERLINK("Not Found")</f>
        <v/>
      </c>
      <c r="L872">
        <f>HYPERLINK("Not Found")</f>
        <v/>
      </c>
      <c r="M872" t="inlineStr">
        <is>
          <t>London, United Kingdom</t>
        </is>
      </c>
      <c r="N872" t="inlineStr">
        <is>
          <t>15,000</t>
        </is>
      </c>
      <c r="O872" t="inlineStr">
        <is>
          <t>Commercial Real Estate</t>
        </is>
      </c>
      <c r="P872" t="inlineStr">
        <is>
          <t>project management,advisory,transaction services</t>
        </is>
      </c>
      <c r="Q872" t="inlineStr">
        <is>
          <t>Not Found</t>
        </is>
      </c>
    </row>
    <row r="873">
      <c r="A873" t="inlineStr">
        <is>
          <t>54a7bdd7746869730a6edc4f</t>
        </is>
      </c>
      <c r="B873" t="inlineStr">
        <is>
          <t>Andrew Clyne</t>
        </is>
      </c>
      <c r="C873">
        <f>HYPERLINK("http://www.linkedin.com/in/andrew-clyne-3068063")</f>
        <v/>
      </c>
      <c r="D873" t="inlineStr">
        <is>
          <t>Not Found</t>
        </is>
      </c>
      <c r="E873" t="inlineStr">
        <is>
          <t>Global Finance Director</t>
        </is>
      </c>
      <c r="F873">
        <f>HYPERLINK("https://app.apollo.io/#/people/54a7bdd7746869730a6edc4f")</f>
        <v/>
      </c>
      <c r="G873" t="inlineStr">
        <is>
          <t>CBRE Global Workplace Solutions (GWS)</t>
        </is>
      </c>
      <c r="H873">
        <f>HYPERLINK("https://app.apollo.io/#/accounts/6509fed6f449800001b69a15")</f>
        <v/>
      </c>
      <c r="I873">
        <f>HYPERLINK("http://www.coor.com/")</f>
        <v/>
      </c>
      <c r="J873">
        <f>HYPERLINK("http://www.linkedin.com/company/cbre-gws")</f>
        <v/>
      </c>
      <c r="K873">
        <f>HYPERLINK("Not Found")</f>
        <v/>
      </c>
      <c r="L873">
        <f>HYPERLINK("Not Found")</f>
        <v/>
      </c>
      <c r="M873" t="inlineStr">
        <is>
          <t>Whitstable, United Kingdom</t>
        </is>
      </c>
      <c r="N873" t="inlineStr">
        <is>
          <t>15,000</t>
        </is>
      </c>
      <c r="O873" t="inlineStr">
        <is>
          <t>Commercial Real Estate</t>
        </is>
      </c>
      <c r="P873" t="inlineStr">
        <is>
          <t>project management,advisory,transaction services</t>
        </is>
      </c>
      <c r="Q873" t="inlineStr">
        <is>
          <t>Not Found</t>
        </is>
      </c>
    </row>
    <row r="874">
      <c r="A874" t="inlineStr">
        <is>
          <t>6101675ccdf28100013cd5c0</t>
        </is>
      </c>
      <c r="B874" t="inlineStr">
        <is>
          <t>Rene Seidl</t>
        </is>
      </c>
      <c r="C874">
        <f>HYPERLINK("http://www.linkedin.com/in/ren%c3%a9-seidl-2811a0169")</f>
        <v/>
      </c>
      <c r="D874" t="inlineStr">
        <is>
          <t>Not Found</t>
        </is>
      </c>
      <c r="E874" t="inlineStr">
        <is>
          <t>Global Finance Director</t>
        </is>
      </c>
      <c r="F874">
        <f>HYPERLINK("https://app.apollo.io/#/people/6101675ccdf28100013cd5c0")</f>
        <v/>
      </c>
      <c r="G874" t="inlineStr">
        <is>
          <t>CBRE Global Workplace Solutions (GWS)</t>
        </is>
      </c>
      <c r="H874">
        <f>HYPERLINK("https://app.apollo.io/#/accounts/6509fed6f449800001b69a15")</f>
        <v/>
      </c>
      <c r="I874">
        <f>HYPERLINK("http://www.coor.com/")</f>
        <v/>
      </c>
      <c r="J874">
        <f>HYPERLINK("http://www.linkedin.com/company/cbre-gws")</f>
        <v/>
      </c>
      <c r="K874">
        <f>HYPERLINK("Not Found")</f>
        <v/>
      </c>
      <c r="L874">
        <f>HYPERLINK("Not Found")</f>
        <v/>
      </c>
      <c r="M874" t="inlineStr">
        <is>
          <t>London, United Kingdom</t>
        </is>
      </c>
      <c r="N874" t="inlineStr">
        <is>
          <t>15,000</t>
        </is>
      </c>
      <c r="O874" t="inlineStr">
        <is>
          <t>Commercial Real Estate</t>
        </is>
      </c>
      <c r="P874" t="inlineStr">
        <is>
          <t>project management,advisory,transaction services</t>
        </is>
      </c>
      <c r="Q874" t="inlineStr">
        <is>
          <t>Not Found</t>
        </is>
      </c>
    </row>
    <row r="875">
      <c r="A875" t="inlineStr">
        <is>
          <t>6578c10b1823b201ae2f27f4</t>
        </is>
      </c>
      <c r="B875" t="inlineStr">
        <is>
          <t>Jamie Read</t>
        </is>
      </c>
      <c r="C875">
        <f>HYPERLINK("http://www.linkedin.com/in/jamiereadproperty")</f>
        <v/>
      </c>
      <c r="D875" t="inlineStr">
        <is>
          <t>Not Found</t>
        </is>
      </c>
      <c r="E875" t="inlineStr">
        <is>
          <t>Co-Founding Partner</t>
        </is>
      </c>
      <c r="F875">
        <f>HYPERLINK("https://app.apollo.io/#/contacts/6578c10b1823b201ae2f27f4")</f>
        <v/>
      </c>
      <c r="G875" t="inlineStr">
        <is>
          <t>Tavistock Bow</t>
        </is>
      </c>
      <c r="H875">
        <f>HYPERLINK("https://app.apollo.io/#/accounts/6578bf4bccf69c02cc54f1e3")</f>
        <v/>
      </c>
      <c r="I875">
        <f>HYPERLINK("http://www.tavistockbow.com/")</f>
        <v/>
      </c>
      <c r="J875">
        <f>HYPERLINK("http://www.linkedin.com/company/tavistock-bow")</f>
        <v/>
      </c>
      <c r="K875">
        <f>HYPERLINK("https://twitter.com/tavistockbow")</f>
        <v/>
      </c>
      <c r="L875">
        <f>HYPERLINK("https://www.facebook.com/tavistockbow")</f>
        <v/>
      </c>
      <c r="M875" t="inlineStr">
        <is>
          <t>London, United Kingdom</t>
        </is>
      </c>
      <c r="N875" t="inlineStr">
        <is>
          <t>9</t>
        </is>
      </c>
      <c r="O875" t="inlineStr">
        <is>
          <t>Commercial Real Estate</t>
        </is>
      </c>
      <c r="P875" t="inlineStr">
        <is>
          <t>commercial real estate,residential property</t>
        </is>
      </c>
      <c r="Q875" t="inlineStr">
        <is>
          <t>+447774644211</t>
        </is>
      </c>
    </row>
    <row r="876">
      <c r="A876" t="inlineStr">
        <is>
          <t>6578c0d91823b201ae2f26a2</t>
        </is>
      </c>
      <c r="B876" t="inlineStr">
        <is>
          <t>Daisy McLachlan</t>
        </is>
      </c>
      <c r="C876">
        <f>HYPERLINK("http://www.linkedin.com/in/daisy-mclachlan-244663173")</f>
        <v/>
      </c>
      <c r="D876" t="inlineStr">
        <is>
          <t>Not Found</t>
        </is>
      </c>
      <c r="E876" t="inlineStr">
        <is>
          <t>Talent Acquisition Partner</t>
        </is>
      </c>
      <c r="F876">
        <f>HYPERLINK("https://app.apollo.io/#/contacts/6578c0d91823b201ae2f26a2")</f>
        <v/>
      </c>
      <c r="G876" t="inlineStr">
        <is>
          <t>CBRE Global Workplace Solutions (GWS)</t>
        </is>
      </c>
      <c r="H876">
        <f>HYPERLINK("https://app.apollo.io/#/accounts/6509fed6f449800001b69a15")</f>
        <v/>
      </c>
      <c r="I876">
        <f>HYPERLINK("http://www.coor.com/")</f>
        <v/>
      </c>
      <c r="J876">
        <f>HYPERLINK("http://www.linkedin.com/company/cbre-gws")</f>
        <v/>
      </c>
      <c r="K876">
        <f>HYPERLINK("Not Found")</f>
        <v/>
      </c>
      <c r="L876">
        <f>HYPERLINK("Not Found")</f>
        <v/>
      </c>
      <c r="M876" t="inlineStr">
        <is>
          <t>London, United Kingdom</t>
        </is>
      </c>
      <c r="N876" t="inlineStr">
        <is>
          <t>15,000</t>
        </is>
      </c>
      <c r="O876" t="inlineStr">
        <is>
          <t>Commercial Real Estate</t>
        </is>
      </c>
      <c r="P876" t="inlineStr">
        <is>
          <t>project management,advisory,transaction services</t>
        </is>
      </c>
      <c r="Q876" t="inlineStr">
        <is>
          <t>Not Found</t>
        </is>
      </c>
    </row>
    <row r="877">
      <c r="A877" t="inlineStr">
        <is>
          <t>6578c0f01823b201ae2f2729</t>
        </is>
      </c>
      <c r="B877" t="inlineStr">
        <is>
          <t>Alex Hughes</t>
        </is>
      </c>
      <c r="C877">
        <f>HYPERLINK("http://www.linkedin.com/in/alex-hughes-ba8ab9195")</f>
        <v/>
      </c>
      <c r="D877" t="inlineStr">
        <is>
          <t>Not Found</t>
        </is>
      </c>
      <c r="E877" t="inlineStr">
        <is>
          <t>Talent Acquisition Partner</t>
        </is>
      </c>
      <c r="F877">
        <f>HYPERLINK("https://app.apollo.io/#/contacts/6578c0f01823b201ae2f2729")</f>
        <v/>
      </c>
      <c r="G877" t="inlineStr">
        <is>
          <t>CBRE Global Workplace Solutions (GWS)</t>
        </is>
      </c>
      <c r="H877">
        <f>HYPERLINK("https://app.apollo.io/#/accounts/6509fed6f449800001b69a15")</f>
        <v/>
      </c>
      <c r="I877">
        <f>HYPERLINK("http://www.coor.com/")</f>
        <v/>
      </c>
      <c r="J877">
        <f>HYPERLINK("http://www.linkedin.com/company/cbre-gws")</f>
        <v/>
      </c>
      <c r="K877">
        <f>HYPERLINK("Not Found")</f>
        <v/>
      </c>
      <c r="L877">
        <f>HYPERLINK("Not Found")</f>
        <v/>
      </c>
      <c r="M877" t="inlineStr">
        <is>
          <t>London, United Kingdom</t>
        </is>
      </c>
      <c r="N877" t="inlineStr">
        <is>
          <t>15,000</t>
        </is>
      </c>
      <c r="O877" t="inlineStr">
        <is>
          <t>Commercial Real Estate</t>
        </is>
      </c>
      <c r="P877" t="inlineStr">
        <is>
          <t>project management,advisory,transaction services</t>
        </is>
      </c>
      <c r="Q877" t="inlineStr">
        <is>
          <t>Not Found</t>
        </is>
      </c>
    </row>
    <row r="878">
      <c r="A878" t="inlineStr">
        <is>
          <t>6578c0fd1823b201ae2f2778</t>
        </is>
      </c>
      <c r="B878" t="inlineStr">
        <is>
          <t>Richard Dawtrey</t>
        </is>
      </c>
      <c r="C878">
        <f>HYPERLINK("http://www.linkedin.com/in/richard-dawtrey-69a3951b")</f>
        <v/>
      </c>
      <c r="D878" t="inlineStr">
        <is>
          <t>Not Found</t>
        </is>
      </c>
      <c r="E878" t="inlineStr">
        <is>
          <t>Lead Partner of Investment</t>
        </is>
      </c>
      <c r="F878">
        <f>HYPERLINK("https://app.apollo.io/#/contacts/6578c0fd1823b201ae2f2778")</f>
        <v/>
      </c>
      <c r="G878" t="inlineStr">
        <is>
          <t>Vail Williams</t>
        </is>
      </c>
      <c r="H878">
        <f>HYPERLINK("https://app.apollo.io/#/accounts/6578bf02ccf69c02cc54f0ad")</f>
        <v/>
      </c>
      <c r="I878">
        <f>HYPERLINK("http://www.vailwilliams.com/")</f>
        <v/>
      </c>
      <c r="J878">
        <f>HYPERLINK("http://www.linkedin.com/company/vail-williams")</f>
        <v/>
      </c>
      <c r="K878">
        <f>HYPERLINK("https://twitter.com/vailwilliams")</f>
        <v/>
      </c>
      <c r="L878">
        <f>HYPERLINK("https://www.facebook.com/vailwilliams")</f>
        <v/>
      </c>
      <c r="M878" t="inlineStr">
        <is>
          <t>London, United Kingdom</t>
        </is>
      </c>
      <c r="N878" t="inlineStr">
        <is>
          <t>200</t>
        </is>
      </c>
      <c r="O878" t="inlineStr">
        <is>
          <t>Commercial Real Estate</t>
        </is>
      </c>
      <c r="P878" t="inlineStr">
        <is>
          <t>real estate,real estate agents</t>
        </is>
      </c>
      <c r="Q878" t="inlineStr">
        <is>
          <t>+442035890080</t>
        </is>
      </c>
    </row>
    <row r="879">
      <c r="A879" t="inlineStr">
        <is>
          <t>6578c0b91823b201ae2f256a</t>
        </is>
      </c>
      <c r="B879" t="inlineStr">
        <is>
          <t>Jordan Hicks</t>
        </is>
      </c>
      <c r="C879">
        <f>HYPERLINK("http://www.linkedin.com/in/jordan-hicks-3a274885")</f>
        <v/>
      </c>
      <c r="D879" t="inlineStr">
        <is>
          <t>Not Found</t>
        </is>
      </c>
      <c r="E879" t="inlineStr">
        <is>
          <t>Talent Acquisition Partner</t>
        </is>
      </c>
      <c r="F879">
        <f>HYPERLINK("https://app.apollo.io/#/contacts/6578c0b91823b201ae2f256a")</f>
        <v/>
      </c>
      <c r="G879" t="inlineStr">
        <is>
          <t>CBRE Global Workplace Solutions (GWS)</t>
        </is>
      </c>
      <c r="H879">
        <f>HYPERLINK("https://app.apollo.io/#/accounts/6509fed6f449800001b69a15")</f>
        <v/>
      </c>
      <c r="I879">
        <f>HYPERLINK("http://www.coor.com/")</f>
        <v/>
      </c>
      <c r="J879">
        <f>HYPERLINK("http://www.linkedin.com/company/cbre-gws")</f>
        <v/>
      </c>
      <c r="K879">
        <f>HYPERLINK("Not Found")</f>
        <v/>
      </c>
      <c r="L879">
        <f>HYPERLINK("Not Found")</f>
        <v/>
      </c>
      <c r="M879" t="inlineStr">
        <is>
          <t>Dartford, United Kingdom</t>
        </is>
      </c>
      <c r="N879" t="inlineStr">
        <is>
          <t>15,000</t>
        </is>
      </c>
      <c r="O879" t="inlineStr">
        <is>
          <t>Commercial Real Estate</t>
        </is>
      </c>
      <c r="P879" t="inlineStr">
        <is>
          <t>project management,advisory,transaction services</t>
        </is>
      </c>
      <c r="Q879" t="inlineStr">
        <is>
          <t>Not Found</t>
        </is>
      </c>
    </row>
    <row r="880">
      <c r="A880" t="inlineStr">
        <is>
          <t>54a402087468692cf009b324</t>
        </is>
      </c>
      <c r="B880" t="inlineStr">
        <is>
          <t>Ben Winslade</t>
        </is>
      </c>
      <c r="C880">
        <f>HYPERLINK("http://www.linkedin.com/in/ben-winslade-b1a1732b")</f>
        <v/>
      </c>
      <c r="D880" t="inlineStr">
        <is>
          <t>Not Found</t>
        </is>
      </c>
      <c r="E880" t="inlineStr">
        <is>
          <t>Global Alliance Director</t>
        </is>
      </c>
      <c r="F880">
        <f>HYPERLINK("https://app.apollo.io/#/people/54a402087468692cf009b324")</f>
        <v/>
      </c>
      <c r="G880" t="inlineStr">
        <is>
          <t>CBRE Global Workplace Solutions (GWS)</t>
        </is>
      </c>
      <c r="H880">
        <f>HYPERLINK("https://app.apollo.io/#/accounts/6509fed6f449800001b69a15")</f>
        <v/>
      </c>
      <c r="I880">
        <f>HYPERLINK("http://www.coor.com/")</f>
        <v/>
      </c>
      <c r="J880">
        <f>HYPERLINK("http://www.linkedin.com/company/cbre-gws")</f>
        <v/>
      </c>
      <c r="K880">
        <f>HYPERLINK("Not Found")</f>
        <v/>
      </c>
      <c r="L880">
        <f>HYPERLINK("Not Found")</f>
        <v/>
      </c>
      <c r="M880" t="inlineStr">
        <is>
          <t>England, United Kingdom</t>
        </is>
      </c>
      <c r="N880" t="inlineStr">
        <is>
          <t>15,000</t>
        </is>
      </c>
      <c r="O880" t="inlineStr">
        <is>
          <t>Commercial Real Estate</t>
        </is>
      </c>
      <c r="P880" t="inlineStr">
        <is>
          <t>project management,advisory,transaction services</t>
        </is>
      </c>
      <c r="Q880" t="inlineStr">
        <is>
          <t>Not Found</t>
        </is>
      </c>
    </row>
    <row r="881">
      <c r="A881" t="inlineStr">
        <is>
          <t>54a77d13746869730a3af539</t>
        </is>
      </c>
      <c r="B881" t="inlineStr">
        <is>
          <t>Morgan Pierstorff</t>
        </is>
      </c>
      <c r="C881">
        <f>HYPERLINK("http://www.linkedin.com/in/morganpierstorff")</f>
        <v/>
      </c>
      <c r="D881" t="inlineStr">
        <is>
          <t>Not Found</t>
        </is>
      </c>
      <c r="E881" t="inlineStr">
        <is>
          <t>Director Of Business Development</t>
        </is>
      </c>
      <c r="F881">
        <f>HYPERLINK("https://app.apollo.io/#/people/54a77d13746869730a3af539")</f>
        <v/>
      </c>
      <c r="G881" t="inlineStr">
        <is>
          <t>NewFlex</t>
        </is>
      </c>
      <c r="H881">
        <f>HYPERLINK("https://app.apollo.io/#/organizations/5ed91e76c67d7f0001f406bf")</f>
        <v/>
      </c>
      <c r="I881">
        <f>HYPERLINK("http://www.newflex.com/")</f>
        <v/>
      </c>
      <c r="J881">
        <f>HYPERLINK("http://www.linkedin.com/company/newflexltd")</f>
        <v/>
      </c>
      <c r="K881">
        <f>HYPERLINK("Not Found")</f>
        <v/>
      </c>
      <c r="L881">
        <f>HYPERLINK("Not Found")</f>
        <v/>
      </c>
      <c r="M881" t="inlineStr">
        <is>
          <t>London, United Kingdom</t>
        </is>
      </c>
      <c r="N881" t="inlineStr">
        <is>
          <t>96</t>
        </is>
      </c>
      <c r="O881" t="inlineStr">
        <is>
          <t>Commercial Real Estate</t>
        </is>
      </c>
      <c r="Q881" t="inlineStr">
        <is>
          <t>Not Found</t>
        </is>
      </c>
    </row>
    <row r="882">
      <c r="A882" t="inlineStr">
        <is>
          <t>54a4978c74686938acb7f353</t>
        </is>
      </c>
      <c r="B882" t="inlineStr">
        <is>
          <t>Gareth Chapman</t>
        </is>
      </c>
      <c r="C882">
        <f>HYPERLINK("http://www.linkedin.com/in/cstgarethchapman")</f>
        <v/>
      </c>
      <c r="D882" t="inlineStr">
        <is>
          <t>Not Found</t>
        </is>
      </c>
      <c r="E882" t="inlineStr">
        <is>
          <t>Regional Sales Director</t>
        </is>
      </c>
      <c r="F882">
        <f>HYPERLINK("https://app.apollo.io/#/people/54a4978c74686938acb7f353")</f>
        <v/>
      </c>
      <c r="G882" t="inlineStr">
        <is>
          <t>CoStar Group</t>
        </is>
      </c>
      <c r="H882">
        <f>HYPERLINK("https://app.apollo.io/#/accounts/6578be77ccf69c01ae54f373")</f>
        <v/>
      </c>
      <c r="I882">
        <f>HYPERLINK("http://www.costargroup.com/")</f>
        <v/>
      </c>
      <c r="J882">
        <f>HYPERLINK("http://www.linkedin.com/company/costar-group")</f>
        <v/>
      </c>
      <c r="K882">
        <f>HYPERLINK("http://twitter.com/TheCoStarGroup")</f>
        <v/>
      </c>
      <c r="L882">
        <f>HYPERLINK("http://www.facebook.com/CoStarGroup")</f>
        <v/>
      </c>
      <c r="M882" t="inlineStr">
        <is>
          <t>London, United Kingdom</t>
        </is>
      </c>
      <c r="N882" t="inlineStr">
        <is>
          <t>6,300</t>
        </is>
      </c>
      <c r="O882" t="inlineStr">
        <is>
          <t>Commercial Real Estate</t>
        </is>
      </c>
      <c r="P882" t="inlineStr">
        <is>
          <t>information technology,research</t>
        </is>
      </c>
      <c r="Q882" t="inlineStr">
        <is>
          <t>Not Found</t>
        </is>
      </c>
    </row>
    <row r="883">
      <c r="A883" t="inlineStr">
        <is>
          <t>620d74f49bc335000127ee6a</t>
        </is>
      </c>
      <c r="B883" t="inlineStr">
        <is>
          <t>Tim Witty</t>
        </is>
      </c>
      <c r="C883">
        <f>HYPERLINK("http://www.linkedin.com/in/tim-witty-473890185")</f>
        <v/>
      </c>
      <c r="D883" t="inlineStr">
        <is>
          <t>Not Found</t>
        </is>
      </c>
      <c r="E883" t="inlineStr">
        <is>
          <t>Development Director</t>
        </is>
      </c>
      <c r="F883">
        <f>HYPERLINK("https://app.apollo.io/#/people/620d74f49bc335000127ee6a")</f>
        <v/>
      </c>
      <c r="G883" t="inlineStr">
        <is>
          <t>UK Land Estates</t>
        </is>
      </c>
      <c r="H883">
        <f>HYPERLINK("https://app.apollo.io/#/organizations/5569ad9d7369642521937800")</f>
        <v/>
      </c>
      <c r="I883">
        <f>HYPERLINK("http://www.uklandestates.co.uk/")</f>
        <v/>
      </c>
      <c r="J883">
        <f>HYPERLINK("http://www.linkedin.com/company/uk-land-estates")</f>
        <v/>
      </c>
      <c r="K883">
        <f>HYPERLINK("https://twitter.com/uklandestates")</f>
        <v/>
      </c>
      <c r="L883">
        <f>HYPERLINK("Not Found")</f>
        <v/>
      </c>
      <c r="M883" t="inlineStr">
        <is>
          <t>Newcastle upon Tyne, United Kingdom</t>
        </is>
      </c>
      <c r="N883" t="inlineStr">
        <is>
          <t>17</t>
        </is>
      </c>
      <c r="O883" t="inlineStr">
        <is>
          <t>Commercial Real Estate</t>
        </is>
      </c>
      <c r="P883" t="inlineStr">
        <is>
          <t>commerical property,development</t>
        </is>
      </c>
      <c r="Q883" t="inlineStr">
        <is>
          <t>Not Found</t>
        </is>
      </c>
    </row>
    <row r="884">
      <c r="A884" t="inlineStr">
        <is>
          <t>6240f08fb300a20001285ce8</t>
        </is>
      </c>
      <c r="B884" t="inlineStr">
        <is>
          <t>Brian Casimir</t>
        </is>
      </c>
      <c r="C884">
        <f>HYPERLINK("http://www.linkedin.com/in/brian-casimir-acma-cgma-7a731241")</f>
        <v/>
      </c>
      <c r="D884" t="inlineStr">
        <is>
          <t>Not Found</t>
        </is>
      </c>
      <c r="E884" t="inlineStr">
        <is>
          <t>EMEA Compliance Director</t>
        </is>
      </c>
      <c r="F884">
        <f>HYPERLINK("https://app.apollo.io/#/people/6240f08fb300a20001285ce8")</f>
        <v/>
      </c>
      <c r="G884" t="inlineStr">
        <is>
          <t>CBRE Global Workplace Solutions (GWS)</t>
        </is>
      </c>
      <c r="H884">
        <f>HYPERLINK("https://app.apollo.io/#/accounts/6509fed6f449800001b69a15")</f>
        <v/>
      </c>
      <c r="I884">
        <f>HYPERLINK("http://www.coor.com/")</f>
        <v/>
      </c>
      <c r="J884">
        <f>HYPERLINK("http://www.linkedin.com/company/cbre-gws")</f>
        <v/>
      </c>
      <c r="K884">
        <f>HYPERLINK("Not Found")</f>
        <v/>
      </c>
      <c r="L884">
        <f>HYPERLINK("Not Found")</f>
        <v/>
      </c>
      <c r="M884" t="inlineStr">
        <is>
          <t>England, United Kingdom</t>
        </is>
      </c>
      <c r="N884" t="inlineStr">
        <is>
          <t>15,000</t>
        </is>
      </c>
      <c r="O884" t="inlineStr">
        <is>
          <t>Commercial Real Estate</t>
        </is>
      </c>
      <c r="P884" t="inlineStr">
        <is>
          <t>project management,advisory,transaction services</t>
        </is>
      </c>
      <c r="Q884" t="inlineStr">
        <is>
          <t>Not Found</t>
        </is>
      </c>
    </row>
    <row r="885">
      <c r="A885" t="inlineStr">
        <is>
          <t>6347b1f2df098b00018ed697</t>
        </is>
      </c>
      <c r="B885" t="inlineStr">
        <is>
          <t>Mark Hickman</t>
        </is>
      </c>
      <c r="C885">
        <f>HYPERLINK("http://www.linkedin.com/in/mark-hickman-m-inst-r-ieng-acibse-cdcmp-aab34b34")</f>
        <v/>
      </c>
      <c r="D885" t="inlineStr">
        <is>
          <t>Not Found</t>
        </is>
      </c>
      <c r="E885" t="inlineStr">
        <is>
          <t>Divisonal Technical Director</t>
        </is>
      </c>
      <c r="F885">
        <f>HYPERLINK("https://app.apollo.io/#/people/6347b1f2df098b00018ed697")</f>
        <v/>
      </c>
      <c r="G885" t="inlineStr">
        <is>
          <t>CBRE Global Workplace Solutions (GWS)</t>
        </is>
      </c>
      <c r="H885">
        <f>HYPERLINK("https://app.apollo.io/#/accounts/6509fed6f449800001b69a15")</f>
        <v/>
      </c>
      <c r="I885">
        <f>HYPERLINK("http://www.coor.com/")</f>
        <v/>
      </c>
      <c r="J885">
        <f>HYPERLINK("http://www.linkedin.com/company/cbre-gws")</f>
        <v/>
      </c>
      <c r="K885">
        <f>HYPERLINK("Not Found")</f>
        <v/>
      </c>
      <c r="L885">
        <f>HYPERLINK("Not Found")</f>
        <v/>
      </c>
      <c r="M885" t="inlineStr">
        <is>
          <t>England, United Kingdom</t>
        </is>
      </c>
      <c r="N885" t="inlineStr">
        <is>
          <t>15,000</t>
        </is>
      </c>
      <c r="O885" t="inlineStr">
        <is>
          <t>Commercial Real Estate</t>
        </is>
      </c>
      <c r="P885" t="inlineStr">
        <is>
          <t>project management,advisory,transaction services</t>
        </is>
      </c>
      <c r="Q885" t="inlineStr">
        <is>
          <t>Not Found</t>
        </is>
      </c>
    </row>
    <row r="886">
      <c r="A886" t="inlineStr">
        <is>
          <t>5f5398e0d8597400019cddfd</t>
        </is>
      </c>
      <c r="B886" t="inlineStr">
        <is>
          <t>Rob Hardie</t>
        </is>
      </c>
      <c r="C886">
        <f>HYPERLINK("http://www.linkedin.com/in/rob-hardie-b8515789")</f>
        <v/>
      </c>
      <c r="D886" t="inlineStr">
        <is>
          <t>Not Found</t>
        </is>
      </c>
      <c r="E886" t="inlineStr">
        <is>
          <t>Asset Management Director</t>
        </is>
      </c>
      <c r="F886">
        <f>HYPERLINK("https://app.apollo.io/#/people/5f5398e0d8597400019cddfd")</f>
        <v/>
      </c>
      <c r="G886" t="inlineStr">
        <is>
          <t>Landsec</t>
        </is>
      </c>
      <c r="H886">
        <f>HYPERLINK("https://app.apollo.io/#/accounts/6578b86a75dc3a02ccc995c8")</f>
        <v/>
      </c>
      <c r="I886">
        <f>HYPERLINK("http://www.landsec.com/")</f>
        <v/>
      </c>
      <c r="J886">
        <f>HYPERLINK("http://www.linkedin.com/company/landsec")</f>
        <v/>
      </c>
      <c r="K886">
        <f>HYPERLINK("https://twitter.com/landsecgroup?lang=en")</f>
        <v/>
      </c>
      <c r="L886">
        <f>HYPERLINK("https://facebook.com/pages/category/Real-Estate-Company/Landsec-Group-335042077050643/")</f>
        <v/>
      </c>
      <c r="M886" t="inlineStr">
        <is>
          <t>London, United Kingdom</t>
        </is>
      </c>
      <c r="N886" t="inlineStr">
        <is>
          <t>860</t>
        </is>
      </c>
      <c r="O886" t="inlineStr">
        <is>
          <t>Commercial Real Estate</t>
        </is>
      </c>
      <c r="P886" t="inlineStr">
        <is>
          <t>property investment,management &amp; development</t>
        </is>
      </c>
      <c r="Q886" t="inlineStr">
        <is>
          <t>Not Found</t>
        </is>
      </c>
    </row>
    <row r="887">
      <c r="A887" t="inlineStr">
        <is>
          <t>54ab885f7468690d2ab59908</t>
        </is>
      </c>
      <c r="B887" t="inlineStr">
        <is>
          <t>Daniel Mottram</t>
        </is>
      </c>
      <c r="C887">
        <f>HYPERLINK("http://www.linkedin.com/in/daniel-mottram-a4b68780")</f>
        <v/>
      </c>
      <c r="D887" t="inlineStr">
        <is>
          <t>Not Found</t>
        </is>
      </c>
      <c r="E887" t="inlineStr">
        <is>
          <t>EMEA Projects Director</t>
        </is>
      </c>
      <c r="F887">
        <f>HYPERLINK("https://app.apollo.io/#/people/54ab885f7468690d2ab59908")</f>
        <v/>
      </c>
      <c r="G887" t="inlineStr">
        <is>
          <t>CBRE Global Workplace Solutions (GWS)</t>
        </is>
      </c>
      <c r="H887">
        <f>HYPERLINK("https://app.apollo.io/#/accounts/6509fed6f449800001b69a15")</f>
        <v/>
      </c>
      <c r="I887">
        <f>HYPERLINK("http://www.coor.com/")</f>
        <v/>
      </c>
      <c r="J887">
        <f>HYPERLINK("http://www.linkedin.com/company/cbre-gws")</f>
        <v/>
      </c>
      <c r="K887">
        <f>HYPERLINK("Not Found")</f>
        <v/>
      </c>
      <c r="L887">
        <f>HYPERLINK("Not Found")</f>
        <v/>
      </c>
      <c r="M887" t="inlineStr">
        <is>
          <t>United Kingdom</t>
        </is>
      </c>
      <c r="N887" t="inlineStr">
        <is>
          <t>15,000</t>
        </is>
      </c>
      <c r="O887" t="inlineStr">
        <is>
          <t>Commercial Real Estate</t>
        </is>
      </c>
      <c r="P887" t="inlineStr">
        <is>
          <t>project management,advisory,transaction services</t>
        </is>
      </c>
      <c r="Q887" t="inlineStr">
        <is>
          <t>Not Found</t>
        </is>
      </c>
    </row>
    <row r="888">
      <c r="A888" t="inlineStr">
        <is>
          <t>54a574a274686938ac965097</t>
        </is>
      </c>
      <c r="B888" t="inlineStr">
        <is>
          <t>Clare Dutton</t>
        </is>
      </c>
      <c r="C888">
        <f>HYPERLINK("http://www.linkedin.com/in/clare-dutton-95379946")</f>
        <v/>
      </c>
      <c r="D888" t="inlineStr">
        <is>
          <t>Not Found</t>
        </is>
      </c>
      <c r="E888" t="inlineStr">
        <is>
          <t>Brand Account Director</t>
        </is>
      </c>
      <c r="F888">
        <f>HYPERLINK("https://app.apollo.io/#/people/54a574a274686938ac965097")</f>
        <v/>
      </c>
      <c r="G888" t="inlineStr">
        <is>
          <t>Landsec</t>
        </is>
      </c>
      <c r="H888">
        <f>HYPERLINK("https://app.apollo.io/#/accounts/6578b86a75dc3a02ccc995c8")</f>
        <v/>
      </c>
      <c r="I888">
        <f>HYPERLINK("http://www.landsec.com/")</f>
        <v/>
      </c>
      <c r="J888">
        <f>HYPERLINK("http://www.linkedin.com/company/landsec")</f>
        <v/>
      </c>
      <c r="K888">
        <f>HYPERLINK("https://twitter.com/landsecgroup?lang=en")</f>
        <v/>
      </c>
      <c r="L888">
        <f>HYPERLINK("https://facebook.com/pages/category/Real-Estate-Company/Landsec-Group-335042077050643/")</f>
        <v/>
      </c>
      <c r="M888" t="inlineStr">
        <is>
          <t>Oxford, United Kingdom</t>
        </is>
      </c>
      <c r="N888" t="inlineStr">
        <is>
          <t>860</t>
        </is>
      </c>
      <c r="O888" t="inlineStr">
        <is>
          <t>Commercial Real Estate</t>
        </is>
      </c>
      <c r="P888" t="inlineStr">
        <is>
          <t>property investment,management &amp; development</t>
        </is>
      </c>
      <c r="Q888" t="inlineStr">
        <is>
          <t>Not Found</t>
        </is>
      </c>
    </row>
    <row r="889">
      <c r="A889" t="inlineStr">
        <is>
          <t>54a3d4137468693b8cb31616</t>
        </is>
      </c>
      <c r="B889" t="inlineStr">
        <is>
          <t>Antoine Bourreille</t>
        </is>
      </c>
      <c r="C889">
        <f>HYPERLINK("http://www.linkedin.com/in/antoine-bourreille-81188882")</f>
        <v/>
      </c>
      <c r="D889" t="inlineStr">
        <is>
          <t>Not Found</t>
        </is>
      </c>
      <c r="E889" t="inlineStr">
        <is>
          <t>Associate Director, Investments</t>
        </is>
      </c>
      <c r="F889">
        <f>HYPERLINK("https://app.apollo.io/#/people/54a3d4137468693b8cb31616")</f>
        <v/>
      </c>
      <c r="G889" t="inlineStr">
        <is>
          <t>Oxford Properties Group</t>
        </is>
      </c>
      <c r="H889">
        <f>HYPERLINK("https://app.apollo.io/#/organizations/54a13c1d69702d267a40c301")</f>
        <v/>
      </c>
      <c r="I889">
        <f>HYPERLINK("http://www.oxfordproperties.com/")</f>
        <v/>
      </c>
      <c r="J889">
        <f>HYPERLINK("http://www.linkedin.com/company/oxford-properties-group")</f>
        <v/>
      </c>
      <c r="K889">
        <f>HYPERLINK("https://twitter.com/oxfordpropgrp")</f>
        <v/>
      </c>
      <c r="L889">
        <f>HYPERLINK("https://facebook.com/Oxford-Properties-Group-144027735748216/")</f>
        <v/>
      </c>
      <c r="M889" t="inlineStr">
        <is>
          <t>London, United Kingdom</t>
        </is>
      </c>
      <c r="N889" t="inlineStr">
        <is>
          <t>1,700</t>
        </is>
      </c>
      <c r="O889" t="inlineStr">
        <is>
          <t>Commercial Real Estate</t>
        </is>
      </c>
      <c r="P889" t="inlineStr">
        <is>
          <t>real estate,development,investment</t>
        </is>
      </c>
      <c r="Q889" t="inlineStr">
        <is>
          <t>Not Found</t>
        </is>
      </c>
    </row>
    <row r="890">
      <c r="A890" t="inlineStr">
        <is>
          <t>54a998f6746869334a69ec15</t>
        </is>
      </c>
      <c r="B890" t="inlineStr">
        <is>
          <t>Freya Dawson</t>
        </is>
      </c>
      <c r="C890">
        <f>HYPERLINK("http://www.linkedin.com/in/freya-dawson-02753659")</f>
        <v/>
      </c>
      <c r="D890" t="inlineStr">
        <is>
          <t>Not Found</t>
        </is>
      </c>
      <c r="E890" t="inlineStr">
        <is>
          <t>Group Property Director</t>
        </is>
      </c>
      <c r="F890">
        <f>HYPERLINK("https://app.apollo.io/#/people/54a998f6746869334a69ec15")</f>
        <v/>
      </c>
      <c r="G890" t="inlineStr">
        <is>
          <t>Dawsongroup</t>
        </is>
      </c>
      <c r="H890">
        <f>HYPERLINK("https://app.apollo.io/#/accounts/6578bdff73d31601aeef274e")</f>
        <v/>
      </c>
      <c r="I890">
        <f>HYPERLINK("http://www.dawsongroup.co.uk/")</f>
        <v/>
      </c>
      <c r="J890">
        <f>HYPERLINK("http://www.linkedin.com/company/dawsongroup-plc")</f>
        <v/>
      </c>
      <c r="K890">
        <f>HYPERLINK("https://twitter.com/dawsongroupplc")</f>
        <v/>
      </c>
      <c r="L890">
        <f>HYPERLINK("Not Found")</f>
        <v/>
      </c>
      <c r="M890" t="inlineStr">
        <is>
          <t>London, United Kingdom</t>
        </is>
      </c>
      <c r="N890" t="inlineStr">
        <is>
          <t>390</t>
        </is>
      </c>
      <c r="O890" t="inlineStr">
        <is>
          <t>Commercial Real Estate</t>
        </is>
      </c>
      <c r="P890" t="inlineStr">
        <is>
          <t>asset management,rental</t>
        </is>
      </c>
      <c r="Q890" t="inlineStr">
        <is>
          <t>Not Found</t>
        </is>
      </c>
    </row>
    <row r="891">
      <c r="A891" t="inlineStr">
        <is>
          <t>564d0059a6da987919012cec</t>
        </is>
      </c>
      <c r="B891" t="inlineStr">
        <is>
          <t>Enoch Lenge</t>
        </is>
      </c>
      <c r="C891">
        <f>HYPERLINK("http://www.linkedin.com/in/enoch-lenge-621590a0")</f>
        <v/>
      </c>
      <c r="D891" t="inlineStr">
        <is>
          <t>Not Found</t>
        </is>
      </c>
      <c r="E891" t="inlineStr">
        <is>
          <t>Director, EV Solutions</t>
        </is>
      </c>
      <c r="F891">
        <f>HYPERLINK("https://app.apollo.io/#/people/564d0059a6da987919012cec")</f>
        <v/>
      </c>
      <c r="G891" t="inlineStr">
        <is>
          <t>CBRE Global Workplace Solutions (GWS)</t>
        </is>
      </c>
      <c r="H891">
        <f>HYPERLINK("https://app.apollo.io/#/accounts/6509fed6f449800001b69a15")</f>
        <v/>
      </c>
      <c r="I891">
        <f>HYPERLINK("http://www.coor.com/")</f>
        <v/>
      </c>
      <c r="J891">
        <f>HYPERLINK("http://www.linkedin.com/company/cbre-gws")</f>
        <v/>
      </c>
      <c r="K891">
        <f>HYPERLINK("Not Found")</f>
        <v/>
      </c>
      <c r="L891">
        <f>HYPERLINK("Not Found")</f>
        <v/>
      </c>
      <c r="M891" t="inlineStr">
        <is>
          <t>London, United Kingdom</t>
        </is>
      </c>
      <c r="N891" t="inlineStr">
        <is>
          <t>15,000</t>
        </is>
      </c>
      <c r="O891" t="inlineStr">
        <is>
          <t>Commercial Real Estate</t>
        </is>
      </c>
      <c r="P891" t="inlineStr">
        <is>
          <t>project management,advisory,transaction services</t>
        </is>
      </c>
      <c r="Q891" t="inlineStr">
        <is>
          <t>Not Found</t>
        </is>
      </c>
    </row>
    <row r="892">
      <c r="A892" t="inlineStr">
        <is>
          <t>6102a91a98baee0001a26766</t>
        </is>
      </c>
      <c r="B892" t="inlineStr">
        <is>
          <t>Clare Martin</t>
        </is>
      </c>
      <c r="C892">
        <f>HYPERLINK("http://www.linkedin.com/in/clare-martin-44a61114")</f>
        <v/>
      </c>
      <c r="D892" t="inlineStr">
        <is>
          <t>Not Found</t>
        </is>
      </c>
      <c r="E892" t="inlineStr">
        <is>
          <t>Assistant Centre Director</t>
        </is>
      </c>
      <c r="F892">
        <f>HYPERLINK("https://app.apollo.io/#/people/6102a91a98baee0001a26766")</f>
        <v/>
      </c>
      <c r="G892" t="inlineStr">
        <is>
          <t>Landsec</t>
        </is>
      </c>
      <c r="H892">
        <f>HYPERLINK("https://app.apollo.io/#/accounts/6578b86a75dc3a02ccc995c8")</f>
        <v/>
      </c>
      <c r="I892">
        <f>HYPERLINK("http://www.landsec.com/")</f>
        <v/>
      </c>
      <c r="J892">
        <f>HYPERLINK("http://www.linkedin.com/company/landsec")</f>
        <v/>
      </c>
      <c r="K892">
        <f>HYPERLINK("https://twitter.com/landsecgroup?lang=en")</f>
        <v/>
      </c>
      <c r="L892">
        <f>HYPERLINK("https://facebook.com/pages/category/Real-Estate-Company/Landsec-Group-335042077050643/")</f>
        <v/>
      </c>
      <c r="M892" t="inlineStr">
        <is>
          <t>United Kingdom</t>
        </is>
      </c>
      <c r="N892" t="inlineStr">
        <is>
          <t>860</t>
        </is>
      </c>
      <c r="O892" t="inlineStr">
        <is>
          <t>Commercial Real Estate</t>
        </is>
      </c>
      <c r="P892" t="inlineStr">
        <is>
          <t>property investment,management &amp; development</t>
        </is>
      </c>
      <c r="Q892" t="inlineStr">
        <is>
          <t>Not Found</t>
        </is>
      </c>
    </row>
    <row r="893">
      <c r="A893" t="inlineStr">
        <is>
          <t>639d8f7ddc92e6000104fa2a</t>
        </is>
      </c>
      <c r="B893" t="inlineStr">
        <is>
          <t>Simon Ng</t>
        </is>
      </c>
      <c r="C893">
        <f>HYPERLINK("http://www.linkedin.com/in/kmsng")</f>
        <v/>
      </c>
      <c r="D893" t="inlineStr">
        <is>
          <t>Not Found</t>
        </is>
      </c>
      <c r="E893" t="inlineStr">
        <is>
          <t>Energy and Sustainability Director</t>
        </is>
      </c>
      <c r="F893">
        <f>HYPERLINK("https://app.apollo.io/#/people/639d8f7ddc92e6000104fa2a")</f>
        <v/>
      </c>
      <c r="G893" t="inlineStr">
        <is>
          <t>CBRE Global Workplace Solutions (GWS)</t>
        </is>
      </c>
      <c r="H893">
        <f>HYPERLINK("https://app.apollo.io/#/accounts/6509fed6f449800001b69a15")</f>
        <v/>
      </c>
      <c r="I893">
        <f>HYPERLINK("http://www.coor.com/")</f>
        <v/>
      </c>
      <c r="J893">
        <f>HYPERLINK("http://www.linkedin.com/company/cbre-gws")</f>
        <v/>
      </c>
      <c r="K893">
        <f>HYPERLINK("Not Found")</f>
        <v/>
      </c>
      <c r="L893">
        <f>HYPERLINK("Not Found")</f>
        <v/>
      </c>
      <c r="M893" t="inlineStr">
        <is>
          <t>United Kingdom</t>
        </is>
      </c>
      <c r="N893" t="inlineStr">
        <is>
          <t>15,000</t>
        </is>
      </c>
      <c r="O893" t="inlineStr">
        <is>
          <t>Commercial Real Estate</t>
        </is>
      </c>
      <c r="P893" t="inlineStr">
        <is>
          <t>project management,advisory,transaction services</t>
        </is>
      </c>
      <c r="Q893" t="inlineStr">
        <is>
          <t>Not Found</t>
        </is>
      </c>
    </row>
    <row r="894">
      <c r="A894" t="inlineStr">
        <is>
          <t>61b4f7f04e647200011fc7b4</t>
        </is>
      </c>
      <c r="B894" t="inlineStr">
        <is>
          <t>Siwan Kalatzi</t>
        </is>
      </c>
      <c r="C894">
        <f>HYPERLINK("http://www.linkedin.com/in/siwan-kalatzi-fca-13842825")</f>
        <v/>
      </c>
      <c r="D894" t="inlineStr">
        <is>
          <t>Not Found</t>
        </is>
      </c>
      <c r="E894" t="inlineStr">
        <is>
          <t>Global Governance Director</t>
        </is>
      </c>
      <c r="F894">
        <f>HYPERLINK("https://app.apollo.io/#/people/61b4f7f04e647200011fc7b4")</f>
        <v/>
      </c>
      <c r="G894" t="inlineStr">
        <is>
          <t>CBRE Global Workplace Solutions (GWS)</t>
        </is>
      </c>
      <c r="H894">
        <f>HYPERLINK("https://app.apollo.io/#/accounts/6509fed6f449800001b69a15")</f>
        <v/>
      </c>
      <c r="I894">
        <f>HYPERLINK("http://www.coor.com/")</f>
        <v/>
      </c>
      <c r="J894">
        <f>HYPERLINK("http://www.linkedin.com/company/cbre-gws")</f>
        <v/>
      </c>
      <c r="K894">
        <f>HYPERLINK("Not Found")</f>
        <v/>
      </c>
      <c r="L894">
        <f>HYPERLINK("Not Found")</f>
        <v/>
      </c>
      <c r="M894" t="inlineStr">
        <is>
          <t>United Kingdom</t>
        </is>
      </c>
      <c r="N894" t="inlineStr">
        <is>
          <t>15,000</t>
        </is>
      </c>
      <c r="O894" t="inlineStr">
        <is>
          <t>Commercial Real Estate</t>
        </is>
      </c>
      <c r="P894" t="inlineStr">
        <is>
          <t>project management,advisory,transaction services</t>
        </is>
      </c>
      <c r="Q894" t="inlineStr">
        <is>
          <t>Not Found</t>
        </is>
      </c>
    </row>
    <row r="895">
      <c r="A895" t="inlineStr">
        <is>
          <t>54c1d2a17468697af78ba04d</t>
        </is>
      </c>
      <c r="B895" t="inlineStr">
        <is>
          <t>Kat Crockford</t>
        </is>
      </c>
      <c r="C895">
        <f>HYPERLINK("http://www.linkedin.com/in/katcrockford")</f>
        <v/>
      </c>
      <c r="D895" t="inlineStr">
        <is>
          <t>Not Found</t>
        </is>
      </c>
      <c r="E895" t="inlineStr">
        <is>
          <t>EMEA Transitions Director</t>
        </is>
      </c>
      <c r="F895">
        <f>HYPERLINK("https://app.apollo.io/#/people/54c1d2a17468697af78ba04d")</f>
        <v/>
      </c>
      <c r="G895" t="inlineStr">
        <is>
          <t>CBRE Global Workplace Solutions (GWS)</t>
        </is>
      </c>
      <c r="H895">
        <f>HYPERLINK("https://app.apollo.io/#/accounts/6509fed6f449800001b69a15")</f>
        <v/>
      </c>
      <c r="I895">
        <f>HYPERLINK("http://www.coor.com/")</f>
        <v/>
      </c>
      <c r="J895">
        <f>HYPERLINK("http://www.linkedin.com/company/cbre-gws")</f>
        <v/>
      </c>
      <c r="K895">
        <f>HYPERLINK("Not Found")</f>
        <v/>
      </c>
      <c r="L895">
        <f>HYPERLINK("Not Found")</f>
        <v/>
      </c>
      <c r="M895" t="inlineStr">
        <is>
          <t>United Kingdom</t>
        </is>
      </c>
      <c r="N895" t="inlineStr">
        <is>
          <t>15,000</t>
        </is>
      </c>
      <c r="O895" t="inlineStr">
        <is>
          <t>Commercial Real Estate</t>
        </is>
      </c>
      <c r="P895" t="inlineStr">
        <is>
          <t>project management,advisory,transaction services</t>
        </is>
      </c>
      <c r="Q895" t="inlineStr">
        <is>
          <t>Not Found</t>
        </is>
      </c>
    </row>
    <row r="896">
      <c r="A896" t="inlineStr">
        <is>
          <t>5b27c2f2a6da98c36ecdb56e</t>
        </is>
      </c>
      <c r="B896" t="inlineStr">
        <is>
          <t>Andrew Russell</t>
        </is>
      </c>
      <c r="C896">
        <f>HYPERLINK("http://www.linkedin.com/in/andrew-russell-41347a3a")</f>
        <v/>
      </c>
      <c r="D896" t="inlineStr">
        <is>
          <t>Not Found</t>
        </is>
      </c>
      <c r="E896" t="inlineStr">
        <is>
          <t>Portfolio Director Leisure</t>
        </is>
      </c>
      <c r="F896">
        <f>HYPERLINK("https://app.apollo.io/#/people/5b27c2f2a6da98c36ecdb56e")</f>
        <v/>
      </c>
      <c r="G896" t="inlineStr">
        <is>
          <t>Landsec</t>
        </is>
      </c>
      <c r="H896">
        <f>HYPERLINK("https://app.apollo.io/#/accounts/6578b86a75dc3a02ccc995c8")</f>
        <v/>
      </c>
      <c r="I896">
        <f>HYPERLINK("http://www.landsec.com/")</f>
        <v/>
      </c>
      <c r="J896">
        <f>HYPERLINK("http://www.linkedin.com/company/landsec")</f>
        <v/>
      </c>
      <c r="K896">
        <f>HYPERLINK("https://twitter.com/landsecgroup?lang=en")</f>
        <v/>
      </c>
      <c r="L896">
        <f>HYPERLINK("https://facebook.com/pages/category/Real-Estate-Company/Landsec-Group-335042077050643/")</f>
        <v/>
      </c>
      <c r="M896" t="inlineStr">
        <is>
          <t>London, United Kingdom</t>
        </is>
      </c>
      <c r="N896" t="inlineStr">
        <is>
          <t>860</t>
        </is>
      </c>
      <c r="O896" t="inlineStr">
        <is>
          <t>Commercial Real Estate</t>
        </is>
      </c>
      <c r="P896" t="inlineStr">
        <is>
          <t>property investment,management &amp; development</t>
        </is>
      </c>
      <c r="Q896" t="inlineStr">
        <is>
          <t>Not Found</t>
        </is>
      </c>
    </row>
    <row r="897">
      <c r="A897" t="inlineStr">
        <is>
          <t>54a82805746869705accdc63</t>
        </is>
      </c>
      <c r="B897" t="inlineStr">
        <is>
          <t>Charlie Griffiths</t>
        </is>
      </c>
      <c r="C897">
        <f>HYPERLINK("http://www.linkedin.com/in/charlie-griffiths-7b912b10")</f>
        <v/>
      </c>
      <c r="D897" t="inlineStr">
        <is>
          <t>Not Found</t>
        </is>
      </c>
      <c r="E897" t="inlineStr">
        <is>
          <t>Asset Management Director</t>
        </is>
      </c>
      <c r="F897">
        <f>HYPERLINK("https://app.apollo.io/#/people/54a82805746869705accdc63")</f>
        <v/>
      </c>
      <c r="G897" t="inlineStr">
        <is>
          <t>Landsec</t>
        </is>
      </c>
      <c r="H897">
        <f>HYPERLINK("https://app.apollo.io/#/accounts/6578b86a75dc3a02ccc995c8")</f>
        <v/>
      </c>
      <c r="I897">
        <f>HYPERLINK("http://www.landsec.com/")</f>
        <v/>
      </c>
      <c r="J897">
        <f>HYPERLINK("http://www.linkedin.com/company/landsec")</f>
        <v/>
      </c>
      <c r="K897">
        <f>HYPERLINK("https://twitter.com/landsecgroup?lang=en")</f>
        <v/>
      </c>
      <c r="L897">
        <f>HYPERLINK("https://facebook.com/pages/category/Real-Estate-Company/Landsec-Group-335042077050643/")</f>
        <v/>
      </c>
      <c r="M897" t="inlineStr">
        <is>
          <t>London, United Kingdom</t>
        </is>
      </c>
      <c r="N897" t="inlineStr">
        <is>
          <t>860</t>
        </is>
      </c>
      <c r="O897" t="inlineStr">
        <is>
          <t>Commercial Real Estate</t>
        </is>
      </c>
      <c r="P897" t="inlineStr">
        <is>
          <t>property investment,management &amp; development</t>
        </is>
      </c>
      <c r="Q897" t="inlineStr">
        <is>
          <t>Not Found</t>
        </is>
      </c>
    </row>
    <row r="898">
      <c r="A898" t="inlineStr">
        <is>
          <t>6105541932f01500019c86f0</t>
        </is>
      </c>
      <c r="B898" t="inlineStr">
        <is>
          <t>James Boadle</t>
        </is>
      </c>
      <c r="C898">
        <f>HYPERLINK("http://www.linkedin.com/in/jamesboadle")</f>
        <v/>
      </c>
      <c r="D898" t="inlineStr">
        <is>
          <t>Not Found</t>
        </is>
      </c>
      <c r="E898" t="inlineStr">
        <is>
          <t>Managing Director, Europe</t>
        </is>
      </c>
      <c r="F898">
        <f>HYPERLINK("https://app.apollo.io/#/people/6105541932f01500019c86f0")</f>
        <v/>
      </c>
      <c r="G898" t="inlineStr">
        <is>
          <t>Oxford Properties Group</t>
        </is>
      </c>
      <c r="H898">
        <f>HYPERLINK("https://app.apollo.io/#/organizations/54a13c1d69702d267a40c301")</f>
        <v/>
      </c>
      <c r="I898">
        <f>HYPERLINK("http://www.oxfordproperties.com/")</f>
        <v/>
      </c>
      <c r="J898">
        <f>HYPERLINK("http://www.linkedin.com/company/oxford-properties-group")</f>
        <v/>
      </c>
      <c r="K898">
        <f>HYPERLINK("https://twitter.com/oxfordpropgrp")</f>
        <v/>
      </c>
      <c r="L898">
        <f>HYPERLINK("https://facebook.com/Oxford-Properties-Group-144027735748216/")</f>
        <v/>
      </c>
      <c r="M898" t="inlineStr">
        <is>
          <t>London, United Kingdom</t>
        </is>
      </c>
      <c r="N898" t="inlineStr">
        <is>
          <t>1,700</t>
        </is>
      </c>
      <c r="O898" t="inlineStr">
        <is>
          <t>Commercial Real Estate</t>
        </is>
      </c>
      <c r="P898" t="inlineStr">
        <is>
          <t>real estate,development,investment</t>
        </is>
      </c>
      <c r="Q898" t="inlineStr">
        <is>
          <t>Not Found</t>
        </is>
      </c>
    </row>
    <row r="899">
      <c r="A899" t="inlineStr">
        <is>
          <t>54a42b037468693209223332</t>
        </is>
      </c>
      <c r="B899" t="inlineStr">
        <is>
          <t>Ian Riches</t>
        </is>
      </c>
      <c r="C899">
        <f>HYPERLINK("http://www.linkedin.com/in/ian-riches-6a80aa52")</f>
        <v/>
      </c>
      <c r="D899" t="inlineStr">
        <is>
          <t>Not Found</t>
        </is>
      </c>
      <c r="E899" t="inlineStr">
        <is>
          <t>Group Managing Director</t>
        </is>
      </c>
      <c r="F899">
        <f>HYPERLINK("https://app.apollo.io/#/people/54a42b037468693209223332")</f>
        <v/>
      </c>
      <c r="G899" t="inlineStr">
        <is>
          <t>KiasuGroup</t>
        </is>
      </c>
      <c r="H899">
        <f>HYPERLINK("https://app.apollo.io/#/organizations/55eec78ef3e5bb72550005b7")</f>
        <v/>
      </c>
      <c r="I899">
        <f>HYPERLINK("http://www.kiasuworkforce.co.uk/")</f>
        <v/>
      </c>
      <c r="J899">
        <f>HYPERLINK("http://www.linkedin.com/company/kiasu-group")</f>
        <v/>
      </c>
      <c r="K899">
        <f>HYPERLINK("Not Found")</f>
        <v/>
      </c>
      <c r="L899">
        <f>HYPERLINK("Not Found")</f>
        <v/>
      </c>
      <c r="M899" t="inlineStr">
        <is>
          <t>London, United Kingdom</t>
        </is>
      </c>
      <c r="N899" t="inlineStr">
        <is>
          <t>8</t>
        </is>
      </c>
      <c r="O899" t="inlineStr">
        <is>
          <t>Commercial Real Estate</t>
        </is>
      </c>
      <c r="Q899" t="inlineStr">
        <is>
          <t>Not Found</t>
        </is>
      </c>
    </row>
    <row r="900">
      <c r="A900" t="inlineStr">
        <is>
          <t>6578c0d01823b201ae2f2606</t>
        </is>
      </c>
      <c r="B900" t="inlineStr">
        <is>
          <t>Carole Taylor</t>
        </is>
      </c>
      <c r="C900">
        <f>HYPERLINK("http://www.linkedin.com/in/carole-taylor-71788314")</f>
        <v/>
      </c>
      <c r="D900" t="inlineStr">
        <is>
          <t>Not Found</t>
        </is>
      </c>
      <c r="E900" t="inlineStr">
        <is>
          <t>Regional Managing Partner</t>
        </is>
      </c>
      <c r="F900">
        <f>HYPERLINK("https://app.apollo.io/#/contacts/6578c0d01823b201ae2f2606")</f>
        <v/>
      </c>
      <c r="G900" t="inlineStr">
        <is>
          <t>Vail Williams</t>
        </is>
      </c>
      <c r="H900">
        <f>HYPERLINK("https://app.apollo.io/#/accounts/6578bf02ccf69c02cc54f0ad")</f>
        <v/>
      </c>
      <c r="I900">
        <f>HYPERLINK("http://www.vailwilliams.com/")</f>
        <v/>
      </c>
      <c r="J900">
        <f>HYPERLINK("http://www.linkedin.com/company/vail-williams")</f>
        <v/>
      </c>
      <c r="K900">
        <f>HYPERLINK("https://twitter.com/vailwilliams")</f>
        <v/>
      </c>
      <c r="L900">
        <f>HYPERLINK("https://www.facebook.com/vailwilliams")</f>
        <v/>
      </c>
      <c r="M900" t="inlineStr">
        <is>
          <t>England, United Kingdom</t>
        </is>
      </c>
      <c r="N900" t="inlineStr">
        <is>
          <t>200</t>
        </is>
      </c>
      <c r="O900" t="inlineStr">
        <is>
          <t>Commercial Real Estate</t>
        </is>
      </c>
      <c r="P900" t="inlineStr">
        <is>
          <t>real estate,real estate agents</t>
        </is>
      </c>
      <c r="Q900" t="inlineStr">
        <is>
          <t>+442035890080</t>
        </is>
      </c>
    </row>
    <row r="901">
      <c r="A901" t="inlineStr">
        <is>
          <t>6578c1151823b201ae2f283c</t>
        </is>
      </c>
      <c r="B901" t="inlineStr">
        <is>
          <t>Geoff Fallon</t>
        </is>
      </c>
      <c r="C901">
        <f>HYPERLINK("http://www.linkedin.com/in/geoff-fallon-3314977")</f>
        <v/>
      </c>
      <c r="D901" t="inlineStr">
        <is>
          <t>Not Found</t>
        </is>
      </c>
      <c r="E901" t="inlineStr">
        <is>
          <t>Regional Managing Partner</t>
        </is>
      </c>
      <c r="F901">
        <f>HYPERLINK("https://app.apollo.io/#/contacts/6578c1151823b201ae2f283c")</f>
        <v/>
      </c>
      <c r="G901" t="inlineStr">
        <is>
          <t>Vail Williams</t>
        </is>
      </c>
      <c r="H901">
        <f>HYPERLINK("https://app.apollo.io/#/accounts/6578bf02ccf69c02cc54f0ad")</f>
        <v/>
      </c>
      <c r="I901">
        <f>HYPERLINK("http://www.vailwilliams.com/")</f>
        <v/>
      </c>
      <c r="J901">
        <f>HYPERLINK("http://www.linkedin.com/company/vail-williams")</f>
        <v/>
      </c>
      <c r="K901">
        <f>HYPERLINK("https://twitter.com/vailwilliams")</f>
        <v/>
      </c>
      <c r="L901">
        <f>HYPERLINK("https://www.facebook.com/vailwilliams")</f>
        <v/>
      </c>
      <c r="M901" t="inlineStr">
        <is>
          <t>Woking, United Kingdom</t>
        </is>
      </c>
      <c r="N901" t="inlineStr">
        <is>
          <t>200</t>
        </is>
      </c>
      <c r="O901" t="inlineStr">
        <is>
          <t>Commercial Real Estate</t>
        </is>
      </c>
      <c r="P901" t="inlineStr">
        <is>
          <t>real estate,real estate agents</t>
        </is>
      </c>
      <c r="Q901" t="inlineStr">
        <is>
          <t>+442035890080</t>
        </is>
      </c>
    </row>
    <row r="902">
      <c r="A902" t="inlineStr">
        <is>
          <t>57daad43a6da984a384e2c28</t>
        </is>
      </c>
      <c r="B902" t="inlineStr">
        <is>
          <t>Akhtar Alibhai</t>
        </is>
      </c>
      <c r="C902">
        <f>HYPERLINK("http://www.linkedin.com/in/akhtar-alibhai-11815114")</f>
        <v/>
      </c>
      <c r="D902" t="inlineStr">
        <is>
          <t>Not Found</t>
        </is>
      </c>
      <c r="E902" t="inlineStr">
        <is>
          <t>Director | Industrial &amp; Logistics</t>
        </is>
      </c>
      <c r="F902">
        <f>HYPERLINK("https://app.apollo.io/#/people/57daad43a6da984a384e2c28")</f>
        <v/>
      </c>
      <c r="G902" t="inlineStr">
        <is>
          <t>Colliers</t>
        </is>
      </c>
      <c r="H902">
        <f>HYPERLINK("https://app.apollo.io/#/accounts/64aaf6c63d556a0001e8eda6")</f>
        <v/>
      </c>
      <c r="I902">
        <f>HYPERLINK("http://www.colliers.com/")</f>
        <v/>
      </c>
      <c r="J902">
        <f>HYPERLINK("http://www.linkedin.com/company/colliers")</f>
        <v/>
      </c>
      <c r="K902">
        <f>HYPERLINK("https://twitter.com/Colliers")</f>
        <v/>
      </c>
      <c r="L902">
        <f>HYPERLINK("https://facebook.com/colliersinternational/")</f>
        <v/>
      </c>
      <c r="M902" t="inlineStr">
        <is>
          <t>London, United Kingdom</t>
        </is>
      </c>
      <c r="N902" t="inlineStr">
        <is>
          <t>25,000</t>
        </is>
      </c>
      <c r="O902" t="inlineStr">
        <is>
          <t>Commercial Real Estate</t>
        </is>
      </c>
      <c r="P902" t="inlineStr">
        <is>
          <t>brokerage &amp; agency,corporate solutions</t>
        </is>
      </c>
      <c r="Q902" t="inlineStr">
        <is>
          <t>Not Found</t>
        </is>
      </c>
    </row>
    <row r="903">
      <c r="A903" t="inlineStr">
        <is>
          <t>5e7e1981f592ab0001be0a26</t>
        </is>
      </c>
      <c r="B903" t="inlineStr">
        <is>
          <t>Andrew Fleming</t>
        </is>
      </c>
      <c r="C903">
        <f>HYPERLINK("http://www.linkedin.com/in/andrew-fleming-3389a318")</f>
        <v/>
      </c>
      <c r="D903" t="inlineStr">
        <is>
          <t>Not Found</t>
        </is>
      </c>
      <c r="E903" t="inlineStr">
        <is>
          <t>Director of Project Management</t>
        </is>
      </c>
      <c r="F903">
        <f>HYPERLINK("https://app.apollo.io/#/people/5e7e1981f592ab0001be0a26")</f>
        <v/>
      </c>
      <c r="G903" t="inlineStr">
        <is>
          <t>CBRE Global Workplace Solutions (GWS)</t>
        </is>
      </c>
      <c r="H903">
        <f>HYPERLINK("https://app.apollo.io/#/accounts/6509fed6f449800001b69a15")</f>
        <v/>
      </c>
      <c r="I903">
        <f>HYPERLINK("http://www.coor.com/")</f>
        <v/>
      </c>
      <c r="J903">
        <f>HYPERLINK("http://www.linkedin.com/company/cbre-gws")</f>
        <v/>
      </c>
      <c r="K903">
        <f>HYPERLINK("Not Found")</f>
        <v/>
      </c>
      <c r="L903">
        <f>HYPERLINK("Not Found")</f>
        <v/>
      </c>
      <c r="M903" t="inlineStr">
        <is>
          <t>England, United Kingdom</t>
        </is>
      </c>
      <c r="N903" t="inlineStr">
        <is>
          <t>15,000</t>
        </is>
      </c>
      <c r="O903" t="inlineStr">
        <is>
          <t>Commercial Real Estate</t>
        </is>
      </c>
      <c r="P903" t="inlineStr">
        <is>
          <t>project management,advisory,transaction services</t>
        </is>
      </c>
      <c r="Q903" t="inlineStr">
        <is>
          <t>Not Found</t>
        </is>
      </c>
    </row>
    <row r="904">
      <c r="A904" t="inlineStr">
        <is>
          <t>6505bfe6d8d3bd00011712ad</t>
        </is>
      </c>
      <c r="B904" t="inlineStr">
        <is>
          <t>Joseph Skinner</t>
        </is>
      </c>
      <c r="C904">
        <f>HYPERLINK("http://www.linkedin.com/in/joseph-skinner-mrics-66837247")</f>
        <v/>
      </c>
      <c r="D904" t="inlineStr">
        <is>
          <t>Not Found</t>
        </is>
      </c>
      <c r="E904" t="inlineStr">
        <is>
          <t>Associate Development Director</t>
        </is>
      </c>
      <c r="F904">
        <f>HYPERLINK("https://app.apollo.io/#/people/6505bfe6d8d3bd00011712ad")</f>
        <v/>
      </c>
      <c r="G904" t="inlineStr">
        <is>
          <t>Tritax Symmetry</t>
        </is>
      </c>
      <c r="H904">
        <f>HYPERLINK("https://app.apollo.io/#/organizations/5a9ccacea6da98d96d7ec351")</f>
        <v/>
      </c>
      <c r="I904">
        <f>HYPERLINK("http://www.tritaxsymmetry.com/")</f>
        <v/>
      </c>
      <c r="J904">
        <f>HYPERLINK("http://www.linkedin.com/company/tritaxsymmetry")</f>
        <v/>
      </c>
      <c r="K904">
        <f>HYPERLINK("https://twitter.com/tritaxsymmetry")</f>
        <v/>
      </c>
      <c r="L904">
        <f>HYPERLINK("Not Found")</f>
        <v/>
      </c>
      <c r="M904" t="inlineStr">
        <is>
          <t>Northampton, United Kingdom</t>
        </is>
      </c>
      <c r="N904" t="inlineStr">
        <is>
          <t>40</t>
        </is>
      </c>
      <c r="O904" t="inlineStr">
        <is>
          <t>Commercial Real Estate</t>
        </is>
      </c>
      <c r="P904" t="inlineStr">
        <is>
          <t>industrial warehouse units,bespoke buildings</t>
        </is>
      </c>
      <c r="Q904" t="inlineStr">
        <is>
          <t>Not Found</t>
        </is>
      </c>
    </row>
    <row r="905">
      <c r="A905" t="inlineStr">
        <is>
          <t>54a43cb97468692abf1c3837</t>
        </is>
      </c>
      <c r="B905" t="inlineStr">
        <is>
          <t>Simon Norton</t>
        </is>
      </c>
      <c r="C905">
        <f>HYPERLINK("http://www.linkedin.com/in/simon-norton-91945724")</f>
        <v/>
      </c>
      <c r="D905" t="inlineStr">
        <is>
          <t>Not Found</t>
        </is>
      </c>
      <c r="E905" t="inlineStr">
        <is>
          <t>Director Industrial &amp; Logistics</t>
        </is>
      </c>
      <c r="F905">
        <f>HYPERLINK("https://app.apollo.io/#/people/54a43cb97468692abf1c3837")</f>
        <v/>
      </c>
      <c r="G905" t="inlineStr">
        <is>
          <t>Colliers</t>
        </is>
      </c>
      <c r="H905">
        <f>HYPERLINK("https://app.apollo.io/#/accounts/64aaf6c63d556a0001e8eda6")</f>
        <v/>
      </c>
      <c r="I905">
        <f>HYPERLINK("http://www.colliers.com/")</f>
        <v/>
      </c>
      <c r="J905">
        <f>HYPERLINK("http://www.linkedin.com/company/colliers")</f>
        <v/>
      </c>
      <c r="K905">
        <f>HYPERLINK("https://twitter.com/Colliers")</f>
        <v/>
      </c>
      <c r="L905">
        <f>HYPERLINK("https://facebook.com/colliersinternational/")</f>
        <v/>
      </c>
      <c r="M905" t="inlineStr">
        <is>
          <t>England, United Kingdom</t>
        </is>
      </c>
      <c r="N905" t="inlineStr">
        <is>
          <t>25,000</t>
        </is>
      </c>
      <c r="O905" t="inlineStr">
        <is>
          <t>Commercial Real Estate</t>
        </is>
      </c>
      <c r="P905" t="inlineStr">
        <is>
          <t>brokerage &amp; agency,corporate solutions</t>
        </is>
      </c>
      <c r="Q905" t="inlineStr">
        <is>
          <t>Not Found</t>
        </is>
      </c>
    </row>
    <row r="906">
      <c r="A906" t="inlineStr">
        <is>
          <t>5aca9212a6da98407c7a9e70</t>
        </is>
      </c>
      <c r="B906" t="inlineStr">
        <is>
          <t>Matt Berry</t>
        </is>
      </c>
      <c r="C906">
        <f>HYPERLINK("http://www.linkedin.com/in/matt-berry-836a4525")</f>
        <v/>
      </c>
      <c r="D906" t="inlineStr">
        <is>
          <t>Not Found</t>
        </is>
      </c>
      <c r="E906" t="inlineStr">
        <is>
          <t>Divisional Commercial Director</t>
        </is>
      </c>
      <c r="F906">
        <f>HYPERLINK("https://app.apollo.io/#/people/5aca9212a6da98407c7a9e70")</f>
        <v/>
      </c>
      <c r="G906" t="inlineStr">
        <is>
          <t>CBRE Global Workplace Solutions (GWS)</t>
        </is>
      </c>
      <c r="H906">
        <f>HYPERLINK("https://app.apollo.io/#/accounts/6509fed6f449800001b69a15")</f>
        <v/>
      </c>
      <c r="I906">
        <f>HYPERLINK("http://www.coor.com/")</f>
        <v/>
      </c>
      <c r="J906">
        <f>HYPERLINK("http://www.linkedin.com/company/cbre-gws")</f>
        <v/>
      </c>
      <c r="K906">
        <f>HYPERLINK("Not Found")</f>
        <v/>
      </c>
      <c r="L906">
        <f>HYPERLINK("Not Found")</f>
        <v/>
      </c>
      <c r="M906" t="inlineStr">
        <is>
          <t>London, United Kingdom</t>
        </is>
      </c>
      <c r="N906" t="inlineStr">
        <is>
          <t>15,000</t>
        </is>
      </c>
      <c r="O906" t="inlineStr">
        <is>
          <t>Commercial Real Estate</t>
        </is>
      </c>
      <c r="P906" t="inlineStr">
        <is>
          <t>project management,advisory,transaction services</t>
        </is>
      </c>
      <c r="Q906" t="inlineStr">
        <is>
          <t>Not Found</t>
        </is>
      </c>
    </row>
    <row r="907">
      <c r="A907" t="inlineStr">
        <is>
          <t>54a233a07468693318d95715</t>
        </is>
      </c>
      <c r="B907" t="inlineStr">
        <is>
          <t>David Meadowcroft</t>
        </is>
      </c>
      <c r="C907">
        <f>HYPERLINK("http://www.linkedin.com/in/david-meadowcroft-5a620b4")</f>
        <v/>
      </c>
      <c r="D907" t="inlineStr">
        <is>
          <t>Not Found</t>
        </is>
      </c>
      <c r="E907" t="inlineStr">
        <is>
          <t>Business Unit Director</t>
        </is>
      </c>
      <c r="F907">
        <f>HYPERLINK("https://app.apollo.io/#/people/54a233a07468693318d95715")</f>
        <v/>
      </c>
      <c r="G907" t="inlineStr">
        <is>
          <t>CBRE Global Workplace Solutions (GWS)</t>
        </is>
      </c>
      <c r="H907">
        <f>HYPERLINK("https://app.apollo.io/#/accounts/6509fed6f449800001b69a15")</f>
        <v/>
      </c>
      <c r="I907">
        <f>HYPERLINK("http://www.coor.com/")</f>
        <v/>
      </c>
      <c r="J907">
        <f>HYPERLINK("http://www.linkedin.com/company/cbre-gws")</f>
        <v/>
      </c>
      <c r="K907">
        <f>HYPERLINK("Not Found")</f>
        <v/>
      </c>
      <c r="L907">
        <f>HYPERLINK("Not Found")</f>
        <v/>
      </c>
      <c r="M907" t="inlineStr">
        <is>
          <t>London, United Kingdom</t>
        </is>
      </c>
      <c r="N907" t="inlineStr">
        <is>
          <t>15,000</t>
        </is>
      </c>
      <c r="O907" t="inlineStr">
        <is>
          <t>Commercial Real Estate</t>
        </is>
      </c>
      <c r="P907" t="inlineStr">
        <is>
          <t>project management,advisory,transaction services</t>
        </is>
      </c>
      <c r="Q907" t="inlineStr">
        <is>
          <t>Not Found</t>
        </is>
      </c>
    </row>
    <row r="908">
      <c r="A908" t="inlineStr">
        <is>
          <t>6408dd525148790001f22053</t>
        </is>
      </c>
      <c r="B908" t="inlineStr">
        <is>
          <t>Natasha Morris</t>
        </is>
      </c>
      <c r="C908">
        <f>HYPERLINK("http://www.linkedin.com/in/natasha-morris")</f>
        <v/>
      </c>
      <c r="D908" t="inlineStr">
        <is>
          <t>Not Found</t>
        </is>
      </c>
      <c r="E908" t="inlineStr">
        <is>
          <t>Director of Flex Office</t>
        </is>
      </c>
      <c r="F908">
        <f>HYPERLINK("https://app.apollo.io/#/people/6408dd525148790001f22053")</f>
        <v/>
      </c>
      <c r="G908" t="inlineStr">
        <is>
          <t>Landsec</t>
        </is>
      </c>
      <c r="H908">
        <f>HYPERLINK("https://app.apollo.io/#/accounts/6578b86a75dc3a02ccc995c8")</f>
        <v/>
      </c>
      <c r="I908">
        <f>HYPERLINK("http://www.landsec.com/")</f>
        <v/>
      </c>
      <c r="J908">
        <f>HYPERLINK("http://www.linkedin.com/company/landsec")</f>
        <v/>
      </c>
      <c r="K908">
        <f>HYPERLINK("https://twitter.com/landsecgroup?lang=en")</f>
        <v/>
      </c>
      <c r="L908">
        <f>HYPERLINK("https://facebook.com/pages/category/Real-Estate-Company/Landsec-Group-335042077050643/")</f>
        <v/>
      </c>
      <c r="M908" t="inlineStr">
        <is>
          <t>United Kingdom</t>
        </is>
      </c>
      <c r="N908" t="inlineStr">
        <is>
          <t>860</t>
        </is>
      </c>
      <c r="O908" t="inlineStr">
        <is>
          <t>Commercial Real Estate</t>
        </is>
      </c>
      <c r="P908" t="inlineStr">
        <is>
          <t>property investment,management &amp; development</t>
        </is>
      </c>
      <c r="Q908" t="inlineStr">
        <is>
          <t>Not Found</t>
        </is>
      </c>
    </row>
    <row r="909">
      <c r="A909" t="inlineStr">
        <is>
          <t>6578c0e71823b203f32f0d81</t>
        </is>
      </c>
      <c r="B909" t="inlineStr">
        <is>
          <t>Carl Walker</t>
        </is>
      </c>
      <c r="C909">
        <f>HYPERLINK("http://www.linkedin.com/in/carlejwalker")</f>
        <v/>
      </c>
      <c r="D909" t="inlineStr">
        <is>
          <t>Not Found</t>
        </is>
      </c>
      <c r="E909" t="inlineStr">
        <is>
          <t>Partner &amp; LLP Member</t>
        </is>
      </c>
      <c r="F909">
        <f>HYPERLINK("https://app.apollo.io/#/contacts/6578c0e71823b203f32f0d81")</f>
        <v/>
      </c>
      <c r="G909" t="inlineStr">
        <is>
          <t>Vail Williams</t>
        </is>
      </c>
      <c r="H909">
        <f>HYPERLINK("https://app.apollo.io/#/accounts/6578bf02ccf69c02cc54f0ad")</f>
        <v/>
      </c>
      <c r="I909">
        <f>HYPERLINK("http://www.vailwilliams.com/")</f>
        <v/>
      </c>
      <c r="J909">
        <f>HYPERLINK("http://www.linkedin.com/company/vail-williams")</f>
        <v/>
      </c>
      <c r="K909">
        <f>HYPERLINK("https://twitter.com/vailwilliams")</f>
        <v/>
      </c>
      <c r="L909">
        <f>HYPERLINK("https://www.facebook.com/vailwilliams")</f>
        <v/>
      </c>
      <c r="M909" t="inlineStr">
        <is>
          <t>Southampton, United Kingdom</t>
        </is>
      </c>
      <c r="N909" t="inlineStr">
        <is>
          <t>200</t>
        </is>
      </c>
      <c r="O909" t="inlineStr">
        <is>
          <t>Commercial Real Estate</t>
        </is>
      </c>
      <c r="P909" t="inlineStr">
        <is>
          <t>real estate,real estate agents</t>
        </is>
      </c>
      <c r="Q909" t="inlineStr">
        <is>
          <t>+441329220033</t>
        </is>
      </c>
    </row>
    <row r="910">
      <c r="A910" t="inlineStr">
        <is>
          <t>6578c0bd1823b201ae2f2590</t>
        </is>
      </c>
      <c r="B910" t="inlineStr">
        <is>
          <t>James Lacey</t>
        </is>
      </c>
      <c r="C910">
        <f>HYPERLINK("http://www.linkedin.com/in/jlacey-75")</f>
        <v/>
      </c>
      <c r="D910" t="inlineStr">
        <is>
          <t>Not Found</t>
        </is>
      </c>
      <c r="E910" t="inlineStr">
        <is>
          <t>Regional Managing Partner</t>
        </is>
      </c>
      <c r="F910">
        <f>HYPERLINK("https://app.apollo.io/#/contacts/6578c0bd1823b201ae2f2590")</f>
        <v/>
      </c>
      <c r="G910" t="inlineStr">
        <is>
          <t>Vail Williams</t>
        </is>
      </c>
      <c r="H910">
        <f>HYPERLINK("https://app.apollo.io/#/accounts/6578bf02ccf69c02cc54f0ad")</f>
        <v/>
      </c>
      <c r="I910">
        <f>HYPERLINK("http://www.vailwilliams.com/")</f>
        <v/>
      </c>
      <c r="J910">
        <f>HYPERLINK("http://www.linkedin.com/company/vail-williams")</f>
        <v/>
      </c>
      <c r="K910">
        <f>HYPERLINK("https://twitter.com/vailwilliams")</f>
        <v/>
      </c>
      <c r="L910">
        <f>HYPERLINK("https://www.facebook.com/vailwilliams")</f>
        <v/>
      </c>
      <c r="M910" t="inlineStr">
        <is>
          <t>United Kingdom</t>
        </is>
      </c>
      <c r="N910" t="inlineStr">
        <is>
          <t>200</t>
        </is>
      </c>
      <c r="O910" t="inlineStr">
        <is>
          <t>Commercial Real Estate</t>
        </is>
      </c>
      <c r="P910" t="inlineStr">
        <is>
          <t>real estate,real estate agents</t>
        </is>
      </c>
      <c r="Q910" t="inlineStr">
        <is>
          <t>+442035890080</t>
        </is>
      </c>
    </row>
    <row r="911">
      <c r="A911" t="inlineStr">
        <is>
          <t>6578c0de1823b201ae2f26c0</t>
        </is>
      </c>
      <c r="B911" t="inlineStr">
        <is>
          <t>Razna Khatun</t>
        </is>
      </c>
      <c r="C911">
        <f>HYPERLINK("http://www.linkedin.com/in/razna-khatun-8a8a4b231")</f>
        <v/>
      </c>
      <c r="D911" t="inlineStr">
        <is>
          <t>Not Found</t>
        </is>
      </c>
      <c r="E911" t="inlineStr">
        <is>
          <t>Culture &amp; Engagement Partner</t>
        </is>
      </c>
      <c r="F911">
        <f>HYPERLINK("https://app.apollo.io/#/contacts/6578c0de1823b201ae2f26c0")</f>
        <v/>
      </c>
      <c r="G911" t="inlineStr">
        <is>
          <t>Leaders Romans Group</t>
        </is>
      </c>
      <c r="H911">
        <f>HYPERLINK("https://app.apollo.io/#/accounts/6578b8bc85cede01ae5c466b")</f>
        <v/>
      </c>
      <c r="I911">
        <f>HYPERLINK("http://www.lrg.co.uk/")</f>
        <v/>
      </c>
      <c r="J911">
        <f>HYPERLINK("http://www.linkedin.com/company/leaders-romans-group")</f>
        <v/>
      </c>
      <c r="K911">
        <f>HYPERLINK("Not Found")</f>
        <v/>
      </c>
      <c r="L911">
        <f>HYPERLINK("Not Found")</f>
        <v/>
      </c>
      <c r="M911" t="inlineStr">
        <is>
          <t>Reading, United Kingdom</t>
        </is>
      </c>
      <c r="N911" t="inlineStr">
        <is>
          <t>2,600</t>
        </is>
      </c>
      <c r="O911" t="inlineStr">
        <is>
          <t>Commercial Real Estate</t>
        </is>
      </c>
      <c r="P911" t="inlineStr">
        <is>
          <t>estate agency,lettings,property investment</t>
        </is>
      </c>
      <c r="Q911" t="inlineStr">
        <is>
          <t>+441344753230</t>
        </is>
      </c>
    </row>
    <row r="912">
      <c r="A912" t="inlineStr">
        <is>
          <t>54abe8d27468692ca19b7715</t>
        </is>
      </c>
      <c r="B912" t="inlineStr">
        <is>
          <t>Harry Casillas</t>
        </is>
      </c>
      <c r="C912">
        <f>HYPERLINK("http://www.linkedin.com/in/harry-casillas-43327190")</f>
        <v/>
      </c>
      <c r="D912" t="inlineStr">
        <is>
          <t>Not Found</t>
        </is>
      </c>
      <c r="E912" t="inlineStr">
        <is>
          <t>Business Development Director</t>
        </is>
      </c>
      <c r="F912">
        <f>HYPERLINK("https://app.apollo.io/#/people/54abe8d27468692ca19b7715")</f>
        <v/>
      </c>
      <c r="G912" t="inlineStr">
        <is>
          <t>CBRE Global Workplace Solutions (GWS)</t>
        </is>
      </c>
      <c r="H912">
        <f>HYPERLINK("https://app.apollo.io/#/accounts/6509fed6f449800001b69a15")</f>
        <v/>
      </c>
      <c r="I912">
        <f>HYPERLINK("http://www.coor.com/")</f>
        <v/>
      </c>
      <c r="J912">
        <f>HYPERLINK("http://www.linkedin.com/company/cbre-gws")</f>
        <v/>
      </c>
      <c r="K912">
        <f>HYPERLINK("Not Found")</f>
        <v/>
      </c>
      <c r="L912">
        <f>HYPERLINK("Not Found")</f>
        <v/>
      </c>
      <c r="M912" t="inlineStr">
        <is>
          <t>London, United Kingdom</t>
        </is>
      </c>
      <c r="N912" t="inlineStr">
        <is>
          <t>15,000</t>
        </is>
      </c>
      <c r="O912" t="inlineStr">
        <is>
          <t>Commercial Real Estate</t>
        </is>
      </c>
      <c r="P912" t="inlineStr">
        <is>
          <t>project management,advisory,transaction services</t>
        </is>
      </c>
      <c r="Q912" t="inlineStr">
        <is>
          <t>Not Found</t>
        </is>
      </c>
    </row>
    <row r="913">
      <c r="A913" t="inlineStr">
        <is>
          <t>62d4f19d5cef110001519b2a</t>
        </is>
      </c>
      <c r="B913" t="inlineStr">
        <is>
          <t>Gareth Cheeseman</t>
        </is>
      </c>
      <c r="C913">
        <f>HYPERLINK("http://www.linkedin.com/in/gareth-cheeseman-032b43b7")</f>
        <v/>
      </c>
      <c r="D913" t="inlineStr">
        <is>
          <t>Not Found</t>
        </is>
      </c>
      <c r="E913" t="inlineStr">
        <is>
          <t>Global Finance Director</t>
        </is>
      </c>
      <c r="F913">
        <f>HYPERLINK("https://app.apollo.io/#/people/62d4f19d5cef110001519b2a")</f>
        <v/>
      </c>
      <c r="G913" t="inlineStr">
        <is>
          <t>CBRE Global Workplace Solutions (GWS)</t>
        </is>
      </c>
      <c r="H913">
        <f>HYPERLINK("https://app.apollo.io/#/accounts/6509fed6f449800001b69a15")</f>
        <v/>
      </c>
      <c r="I913">
        <f>HYPERLINK("http://www.coor.com/")</f>
        <v/>
      </c>
      <c r="J913">
        <f>HYPERLINK("http://www.linkedin.com/company/cbre-gws")</f>
        <v/>
      </c>
      <c r="K913">
        <f>HYPERLINK("Not Found")</f>
        <v/>
      </c>
      <c r="L913">
        <f>HYPERLINK("Not Found")</f>
        <v/>
      </c>
      <c r="M913" t="inlineStr">
        <is>
          <t>Thame, United Kingdom</t>
        </is>
      </c>
      <c r="N913" t="inlineStr">
        <is>
          <t>15,000</t>
        </is>
      </c>
      <c r="O913" t="inlineStr">
        <is>
          <t>Commercial Real Estate</t>
        </is>
      </c>
      <c r="P913" t="inlineStr">
        <is>
          <t>project management,advisory,transaction services</t>
        </is>
      </c>
      <c r="Q913" t="inlineStr">
        <is>
          <t>Not Found</t>
        </is>
      </c>
    </row>
    <row r="914">
      <c r="A914" t="inlineStr">
        <is>
          <t>618269e498826800011dad40</t>
        </is>
      </c>
      <c r="B914" t="inlineStr">
        <is>
          <t>Rich Moore</t>
        </is>
      </c>
      <c r="C914">
        <f>HYPERLINK("http://www.linkedin.com/in/richardm1991")</f>
        <v/>
      </c>
      <c r="D914" t="inlineStr">
        <is>
          <t>Not Found</t>
        </is>
      </c>
      <c r="E914" t="inlineStr">
        <is>
          <t>Director Asset Management</t>
        </is>
      </c>
      <c r="F914">
        <f>HYPERLINK("https://app.apollo.io/#/people/618269e498826800011dad40")</f>
        <v/>
      </c>
      <c r="G914" t="inlineStr">
        <is>
          <t>CANMOOR</t>
        </is>
      </c>
      <c r="H914">
        <f>HYPERLINK("https://app.apollo.io/#/accounts/6578c31c48f92e01ae97bd25")</f>
        <v/>
      </c>
      <c r="I914">
        <f>HYPERLINK("http://www.canmoor.com/")</f>
        <v/>
      </c>
      <c r="J914">
        <f>HYPERLINK("http://www.linkedin.com/company/canmoor-asset-management-limited")</f>
        <v/>
      </c>
      <c r="K914">
        <f>HYPERLINK("Not Found")</f>
        <v/>
      </c>
      <c r="L914">
        <f>HYPERLINK("Not Found")</f>
        <v/>
      </c>
      <c r="M914" t="inlineStr">
        <is>
          <t>London, United Kingdom</t>
        </is>
      </c>
      <c r="N914" t="inlineStr">
        <is>
          <t>22</t>
        </is>
      </c>
      <c r="O914" t="inlineStr">
        <is>
          <t>Commercial Real Estate</t>
        </is>
      </c>
      <c r="Q914" t="inlineStr">
        <is>
          <t>Not Found</t>
        </is>
      </c>
    </row>
    <row r="915">
      <c r="A915" t="inlineStr">
        <is>
          <t>5f551eb9a924be00e3a2c76d</t>
        </is>
      </c>
      <c r="B915" t="inlineStr">
        <is>
          <t>Simon Hill</t>
        </is>
      </c>
      <c r="C915">
        <f>HYPERLINK("http://www.linkedin.com/in/simon-hill-6ba3a679")</f>
        <v/>
      </c>
      <c r="D915" t="inlineStr">
        <is>
          <t>Not Found</t>
        </is>
      </c>
      <c r="E915" t="inlineStr">
        <is>
          <t>managing director</t>
        </is>
      </c>
      <c r="F915">
        <f>HYPERLINK("https://app.apollo.io/#/people/5f551eb9a924be00e3a2c76d")</f>
        <v/>
      </c>
      <c r="G915" t="inlineStr">
        <is>
          <t>Simon Property Group</t>
        </is>
      </c>
      <c r="H915">
        <f>HYPERLINK("https://app.apollo.io/#/organizations/5d0a1a39a3ae61412e38c67d")</f>
        <v/>
      </c>
      <c r="I915">
        <f>HYPERLINK("http://www.simon.com/")</f>
        <v/>
      </c>
      <c r="J915">
        <f>HYPERLINK("http://www.linkedin.com/company/simon-property-group")</f>
        <v/>
      </c>
      <c r="K915">
        <f>HYPERLINK("https://twitter.com/shopsimon")</f>
        <v/>
      </c>
      <c r="L915">
        <f>HYPERLINK("https://www.facebook.com/SimonPropertyGroup")</f>
        <v/>
      </c>
      <c r="M915" t="inlineStr">
        <is>
          <t>United Kingdom</t>
        </is>
      </c>
      <c r="N915" t="inlineStr">
        <is>
          <t>3,500</t>
        </is>
      </c>
      <c r="O915" t="inlineStr">
        <is>
          <t>Commercial Real Estate</t>
        </is>
      </c>
      <c r="P915" t="inlineStr">
        <is>
          <t>fashion,real estate,development,property management</t>
        </is>
      </c>
      <c r="Q915" t="inlineStr">
        <is>
          <t>Not Found</t>
        </is>
      </c>
    </row>
    <row r="916">
      <c r="A916" t="inlineStr">
        <is>
          <t>61306026e9844700015ca229</t>
        </is>
      </c>
      <c r="B916" t="inlineStr">
        <is>
          <t>Sarah-Louise Halliday</t>
        </is>
      </c>
      <c r="C916">
        <f>HYPERLINK("http://www.linkedin.com/in/sarah-louise-halliday-3ba945160")</f>
        <v/>
      </c>
      <c r="D916" t="inlineStr">
        <is>
          <t>Not Found</t>
        </is>
      </c>
      <c r="E916" t="inlineStr">
        <is>
          <t>Director, Property Management</t>
        </is>
      </c>
      <c r="F916">
        <f>HYPERLINK("https://app.apollo.io/#/people/61306026e9844700015ca229")</f>
        <v/>
      </c>
      <c r="G916" t="inlineStr">
        <is>
          <t>Cowiesburn</t>
        </is>
      </c>
      <c r="H916">
        <f>HYPERLINK("https://app.apollo.io/#/organizations/54a221ae7468693fdab25d0f")</f>
        <v/>
      </c>
      <c r="I916">
        <f>HYPERLINK("http://www.cowiesburn.co.uk/")</f>
        <v/>
      </c>
      <c r="J916">
        <f>HYPERLINK("http://www.linkedin.com/company/cowiesburn-asset-management-llp")</f>
        <v/>
      </c>
      <c r="K916">
        <f>HYPERLINK("Not Found")</f>
        <v/>
      </c>
      <c r="L916">
        <f>HYPERLINK("Not Found")</f>
        <v/>
      </c>
      <c r="M916" t="inlineStr">
        <is>
          <t>Edinburgh, United Kingdom</t>
        </is>
      </c>
      <c r="N916" t="inlineStr">
        <is>
          <t>24</t>
        </is>
      </c>
      <c r="O916" t="inlineStr">
        <is>
          <t>Commercial Real Estate</t>
        </is>
      </c>
      <c r="P916" t="inlineStr">
        <is>
          <t>commercial property management,commercial property investment</t>
        </is>
      </c>
      <c r="Q916" t="inlineStr">
        <is>
          <t>Not Found</t>
        </is>
      </c>
    </row>
    <row r="917">
      <c r="A917" t="inlineStr">
        <is>
          <t>54a32cf274686930c202425a</t>
        </is>
      </c>
      <c r="B917" t="inlineStr">
        <is>
          <t>Andrew Derry</t>
        </is>
      </c>
      <c r="C917">
        <f>HYPERLINK("http://www.linkedin.com/in/andrew-derry-19800031")</f>
        <v/>
      </c>
      <c r="D917" t="inlineStr">
        <is>
          <t>Not Found</t>
        </is>
      </c>
      <c r="E917" t="inlineStr">
        <is>
          <t>Sustainability Solutions Director</t>
        </is>
      </c>
      <c r="F917">
        <f>HYPERLINK("https://app.apollo.io/#/people/54a32cf274686930c202425a")</f>
        <v/>
      </c>
      <c r="G917" t="inlineStr">
        <is>
          <t>CBRE Global Workplace Solutions (GWS)</t>
        </is>
      </c>
      <c r="H917">
        <f>HYPERLINK("https://app.apollo.io/#/accounts/6509fed6f449800001b69a15")</f>
        <v/>
      </c>
      <c r="I917">
        <f>HYPERLINK("http://www.coor.com/")</f>
        <v/>
      </c>
      <c r="J917">
        <f>HYPERLINK("http://www.linkedin.com/company/cbre-gws")</f>
        <v/>
      </c>
      <c r="K917">
        <f>HYPERLINK("Not Found")</f>
        <v/>
      </c>
      <c r="L917">
        <f>HYPERLINK("Not Found")</f>
        <v/>
      </c>
      <c r="M917" t="inlineStr">
        <is>
          <t>Newcastle upon Tyne, United Kingdom</t>
        </is>
      </c>
      <c r="N917" t="inlineStr">
        <is>
          <t>15,000</t>
        </is>
      </c>
      <c r="O917" t="inlineStr">
        <is>
          <t>Commercial Real Estate</t>
        </is>
      </c>
      <c r="P917" t="inlineStr">
        <is>
          <t>project management,advisory,transaction services</t>
        </is>
      </c>
      <c r="Q917" t="inlineStr">
        <is>
          <t>Not Found</t>
        </is>
      </c>
    </row>
    <row r="918">
      <c r="A918" t="inlineStr">
        <is>
          <t>60f56e086d86e50001aeb55f</t>
        </is>
      </c>
      <c r="B918" t="inlineStr">
        <is>
          <t>Catherine Eastwood</t>
        </is>
      </c>
      <c r="C918">
        <f>HYPERLINK("http://www.linkedin.com/in/catherine-eastwood-6b7a2497")</f>
        <v/>
      </c>
      <c r="D918" t="inlineStr">
        <is>
          <t>Not Found</t>
        </is>
      </c>
      <c r="E918" t="inlineStr">
        <is>
          <t>Operations Director (Residential)</t>
        </is>
      </c>
      <c r="F918">
        <f>HYPERLINK("https://app.apollo.io/#/people/60f56e086d86e50001aeb55f")</f>
        <v/>
      </c>
      <c r="G918" t="inlineStr">
        <is>
          <t>Landsec</t>
        </is>
      </c>
      <c r="H918">
        <f>HYPERLINK("https://app.apollo.io/#/accounts/6578b86a75dc3a02ccc995c8")</f>
        <v/>
      </c>
      <c r="I918">
        <f>HYPERLINK("http://www.landsec.com/")</f>
        <v/>
      </c>
      <c r="J918">
        <f>HYPERLINK("http://www.linkedin.com/company/landsec")</f>
        <v/>
      </c>
      <c r="K918">
        <f>HYPERLINK("https://twitter.com/landsecgroup?lang=en")</f>
        <v/>
      </c>
      <c r="L918">
        <f>HYPERLINK("https://facebook.com/pages/category/Real-Estate-Company/Landsec-Group-335042077050643/")</f>
        <v/>
      </c>
      <c r="M918" t="inlineStr">
        <is>
          <t>London, United Kingdom</t>
        </is>
      </c>
      <c r="N918" t="inlineStr">
        <is>
          <t>860</t>
        </is>
      </c>
      <c r="O918" t="inlineStr">
        <is>
          <t>Commercial Real Estate</t>
        </is>
      </c>
      <c r="P918" t="inlineStr">
        <is>
          <t>property investment,management &amp; development</t>
        </is>
      </c>
      <c r="Q918" t="inlineStr">
        <is>
          <t>Not Found</t>
        </is>
      </c>
    </row>
    <row r="919">
      <c r="A919" t="inlineStr">
        <is>
          <t>649ad1d7309d89000144fac9</t>
        </is>
      </c>
      <c r="B919" t="inlineStr">
        <is>
          <t>Matt Sal</t>
        </is>
      </c>
      <c r="C919">
        <f>HYPERLINK("http://www.linkedin.com/in/matthewstavrou")</f>
        <v/>
      </c>
      <c r="D919" t="inlineStr">
        <is>
          <t>Not Found</t>
        </is>
      </c>
      <c r="E919" t="inlineStr">
        <is>
          <t>Sustainability &amp; ESG Director</t>
        </is>
      </c>
      <c r="F919">
        <f>HYPERLINK("https://app.apollo.io/#/people/649ad1d7309d89000144fac9")</f>
        <v/>
      </c>
      <c r="G919" t="inlineStr">
        <is>
          <t>Colliers</t>
        </is>
      </c>
      <c r="H919">
        <f>HYPERLINK("https://app.apollo.io/#/accounts/64aaf6c63d556a0001e8eda6")</f>
        <v/>
      </c>
      <c r="I919">
        <f>HYPERLINK("http://www.colliers.com/")</f>
        <v/>
      </c>
      <c r="J919">
        <f>HYPERLINK("http://www.linkedin.com/company/colliers")</f>
        <v/>
      </c>
      <c r="K919">
        <f>HYPERLINK("https://twitter.com/Colliers")</f>
        <v/>
      </c>
      <c r="L919">
        <f>HYPERLINK("https://facebook.com/colliersinternational/")</f>
        <v/>
      </c>
      <c r="M919" t="inlineStr">
        <is>
          <t>London, United Kingdom</t>
        </is>
      </c>
      <c r="N919" t="inlineStr">
        <is>
          <t>25,000</t>
        </is>
      </c>
      <c r="O919" t="inlineStr">
        <is>
          <t>Commercial Real Estate</t>
        </is>
      </c>
      <c r="P919" t="inlineStr">
        <is>
          <t>brokerage &amp; agency,corporate solutions</t>
        </is>
      </c>
      <c r="Q919" t="inlineStr">
        <is>
          <t>Not Found</t>
        </is>
      </c>
    </row>
    <row r="920">
      <c r="A920" t="inlineStr">
        <is>
          <t>54a73e92746869730a877822</t>
        </is>
      </c>
      <c r="B920" t="inlineStr">
        <is>
          <t>Graham Downey</t>
        </is>
      </c>
      <c r="C920">
        <f>HYPERLINK("http://www.linkedin.com/in/graham-downey-26095757")</f>
        <v/>
      </c>
      <c r="D920" t="inlineStr">
        <is>
          <t>Not Found</t>
        </is>
      </c>
      <c r="E920" t="inlineStr">
        <is>
          <t>Technical Services Director</t>
        </is>
      </c>
      <c r="F920">
        <f>HYPERLINK("https://app.apollo.io/#/people/54a73e92746869730a877822")</f>
        <v/>
      </c>
      <c r="G920" t="inlineStr">
        <is>
          <t>Service Charge Associates Ltd</t>
        </is>
      </c>
      <c r="H920">
        <f>HYPERLINK("https://app.apollo.io/#/organizations/54a1d36d7468694f8f9c7714")</f>
        <v/>
      </c>
      <c r="I920">
        <f>HYPERLINK("http://www.servicechargeassociates.co.uk/")</f>
        <v/>
      </c>
      <c r="J920">
        <f>HYPERLINK("http://www.linkedin.com/company/service-charge-associates-ltd")</f>
        <v/>
      </c>
      <c r="K920">
        <f>HYPERLINK("Not Found")</f>
        <v/>
      </c>
      <c r="L920">
        <f>HYPERLINK("Not Found")</f>
        <v/>
      </c>
      <c r="M920" t="inlineStr">
        <is>
          <t>Gloucester, United Kingdom</t>
        </is>
      </c>
      <c r="N920" t="inlineStr">
        <is>
          <t>5</t>
        </is>
      </c>
      <c r="O920" t="inlineStr">
        <is>
          <t>Commercial Real Estate</t>
        </is>
      </c>
      <c r="P920" t="inlineStr">
        <is>
          <t>facilities management,building surveying</t>
        </is>
      </c>
      <c r="Q920" t="inlineStr">
        <is>
          <t>Not Found</t>
        </is>
      </c>
    </row>
    <row r="921">
      <c r="A921" t="inlineStr">
        <is>
          <t>5fbdd8d9885a880001ea4637</t>
        </is>
      </c>
      <c r="B921" t="inlineStr">
        <is>
          <t>Anthony Vasey</t>
        </is>
      </c>
      <c r="C921">
        <f>HYPERLINK("http://www.linkedin.com/in/anthony-vasey-cmiosh-182277a8")</f>
        <v/>
      </c>
      <c r="D921" t="inlineStr">
        <is>
          <t>Not Found</t>
        </is>
      </c>
      <c r="E921" t="inlineStr">
        <is>
          <t>Divisional QHSE Director</t>
        </is>
      </c>
      <c r="F921">
        <f>HYPERLINK("https://app.apollo.io/#/people/5fbdd8d9885a880001ea4637")</f>
        <v/>
      </c>
      <c r="G921" t="inlineStr">
        <is>
          <t>CBRE Global Workplace Solutions (GWS)</t>
        </is>
      </c>
      <c r="H921">
        <f>HYPERLINK("https://app.apollo.io/#/accounts/6509fed6f449800001b69a15")</f>
        <v/>
      </c>
      <c r="I921">
        <f>HYPERLINK("http://www.coor.com/")</f>
        <v/>
      </c>
      <c r="J921">
        <f>HYPERLINK("http://www.linkedin.com/company/cbre-gws")</f>
        <v/>
      </c>
      <c r="K921">
        <f>HYPERLINK("Not Found")</f>
        <v/>
      </c>
      <c r="L921">
        <f>HYPERLINK("Not Found")</f>
        <v/>
      </c>
      <c r="M921" t="inlineStr">
        <is>
          <t>United Kingdom</t>
        </is>
      </c>
      <c r="N921" t="inlineStr">
        <is>
          <t>15,000</t>
        </is>
      </c>
      <c r="O921" t="inlineStr">
        <is>
          <t>Commercial Real Estate</t>
        </is>
      </c>
      <c r="P921" t="inlineStr">
        <is>
          <t>project management,advisory,transaction services</t>
        </is>
      </c>
      <c r="Q921" t="inlineStr">
        <is>
          <t>Not Found</t>
        </is>
      </c>
    </row>
    <row r="922">
      <c r="A922" t="inlineStr">
        <is>
          <t>57e0e8d0a6da987db4832c88</t>
        </is>
      </c>
      <c r="B922" t="inlineStr">
        <is>
          <t>Anthony Keohane</t>
        </is>
      </c>
      <c r="C922">
        <f>HYPERLINK("http://www.linkedin.com/in/anthony-keohane-27792266")</f>
        <v/>
      </c>
      <c r="D922" t="inlineStr">
        <is>
          <t>Not Found</t>
        </is>
      </c>
      <c r="E922" t="inlineStr">
        <is>
          <t>Director - Automotive and Roadside</t>
        </is>
      </c>
      <c r="F922">
        <f>HYPERLINK("https://app.apollo.io/#/people/57e0e8d0a6da987db4832c88")</f>
        <v/>
      </c>
      <c r="G922" t="inlineStr">
        <is>
          <t>Colliers</t>
        </is>
      </c>
      <c r="H922">
        <f>HYPERLINK("https://app.apollo.io/#/accounts/64aaf6c63d556a0001e8eda6")</f>
        <v/>
      </c>
      <c r="I922">
        <f>HYPERLINK("http://www.colliers.com/")</f>
        <v/>
      </c>
      <c r="J922">
        <f>HYPERLINK("http://www.linkedin.com/company/colliers")</f>
        <v/>
      </c>
      <c r="K922">
        <f>HYPERLINK("https://twitter.com/Colliers")</f>
        <v/>
      </c>
      <c r="L922">
        <f>HYPERLINK("https://facebook.com/colliersinternational/")</f>
        <v/>
      </c>
      <c r="M922" t="inlineStr">
        <is>
          <t>London, United Kingdom</t>
        </is>
      </c>
      <c r="N922" t="inlineStr">
        <is>
          <t>25,000</t>
        </is>
      </c>
      <c r="O922" t="inlineStr">
        <is>
          <t>Commercial Real Estate</t>
        </is>
      </c>
      <c r="P922" t="inlineStr">
        <is>
          <t>brokerage &amp; agency,corporate solutions</t>
        </is>
      </c>
      <c r="Q922" t="inlineStr">
        <is>
          <t>Not Found</t>
        </is>
      </c>
    </row>
    <row r="923">
      <c r="A923" t="inlineStr">
        <is>
          <t>54a4e0877468693b8c26676a</t>
        </is>
      </c>
      <c r="B923" t="inlineStr">
        <is>
          <t>Shabana Jablu</t>
        </is>
      </c>
      <c r="C923">
        <f>HYPERLINK("http://www.linkedin.com/in/shabana-jablu-10b61143")</f>
        <v/>
      </c>
      <c r="D923" t="inlineStr">
        <is>
          <t>Not Found</t>
        </is>
      </c>
      <c r="E923" t="inlineStr">
        <is>
          <t>PA to Director</t>
        </is>
      </c>
      <c r="F923">
        <f>HYPERLINK("https://app.apollo.io/#/people/54a4e0877468693b8c26676a")</f>
        <v/>
      </c>
      <c r="G923" t="inlineStr">
        <is>
          <t>Derwent London</t>
        </is>
      </c>
      <c r="H923">
        <f>HYPERLINK("https://app.apollo.io/#/organizations/5f4a1ddd9daa4e0001828553")</f>
        <v/>
      </c>
      <c r="I923">
        <f>HYPERLINK("http://www.derwentlondon.com/")</f>
        <v/>
      </c>
      <c r="J923">
        <f>HYPERLINK("http://www.linkedin.com/company/derwentlondon")</f>
        <v/>
      </c>
      <c r="K923">
        <f>HYPERLINK("http://www.twitter.com/derwentlondon")</f>
        <v/>
      </c>
      <c r="L923">
        <f>HYPERLINK("http://www.facebook.com/derwentlondon")</f>
        <v/>
      </c>
      <c r="M923" t="inlineStr">
        <is>
          <t>London, United Kingdom</t>
        </is>
      </c>
      <c r="N923" t="inlineStr">
        <is>
          <t>210</t>
        </is>
      </c>
      <c r="O923" t="inlineStr">
        <is>
          <t>Commercial Real Estate</t>
        </is>
      </c>
      <c r="P923" t="inlineStr">
        <is>
          <t>commercial real estate</t>
        </is>
      </c>
      <c r="Q923" t="inlineStr">
        <is>
          <t>Not Found</t>
        </is>
      </c>
    </row>
    <row r="924">
      <c r="A924" t="inlineStr">
        <is>
          <t>54a45e627468692cf074f541</t>
        </is>
      </c>
      <c r="B924" t="inlineStr">
        <is>
          <t>Jamie Moseley</t>
        </is>
      </c>
      <c r="C924">
        <f>HYPERLINK("http://www.linkedin.com/in/jamie-moseley-5829ba61")</f>
        <v/>
      </c>
      <c r="D924" t="inlineStr">
        <is>
          <t>Not Found</t>
        </is>
      </c>
      <c r="E924" t="inlineStr">
        <is>
          <t>Alliance Director RWEM</t>
        </is>
      </c>
      <c r="F924">
        <f>HYPERLINK("https://app.apollo.io/#/people/54a45e627468692cf074f541")</f>
        <v/>
      </c>
      <c r="G924" t="inlineStr">
        <is>
          <t>CBRE Global Workplace Solutions (GWS)</t>
        </is>
      </c>
      <c r="H924">
        <f>HYPERLINK("https://app.apollo.io/#/accounts/6509fed6f449800001b69a15")</f>
        <v/>
      </c>
      <c r="I924">
        <f>HYPERLINK("http://www.coor.com/")</f>
        <v/>
      </c>
      <c r="J924">
        <f>HYPERLINK("http://www.linkedin.com/company/cbre-gws")</f>
        <v/>
      </c>
      <c r="K924">
        <f>HYPERLINK("Not Found")</f>
        <v/>
      </c>
      <c r="L924">
        <f>HYPERLINK("Not Found")</f>
        <v/>
      </c>
      <c r="M924" t="inlineStr">
        <is>
          <t>London, United Kingdom</t>
        </is>
      </c>
      <c r="N924" t="inlineStr">
        <is>
          <t>15,000</t>
        </is>
      </c>
      <c r="O924" t="inlineStr">
        <is>
          <t>Commercial Real Estate</t>
        </is>
      </c>
      <c r="P924" t="inlineStr">
        <is>
          <t>project management,advisory,transaction services</t>
        </is>
      </c>
      <c r="Q924" t="inlineStr">
        <is>
          <t>Not Found</t>
        </is>
      </c>
    </row>
    <row r="925">
      <c r="A925" t="inlineStr">
        <is>
          <t>57df76e7a6da980ad8f178e3</t>
        </is>
      </c>
      <c r="B925" t="inlineStr">
        <is>
          <t>Mary Wetherly</t>
        </is>
      </c>
      <c r="C925">
        <f>HYPERLINK("http://www.linkedin.com/in/mary-wetherly-38bb9b101")</f>
        <v/>
      </c>
      <c r="D925" t="inlineStr">
        <is>
          <t>Not Found</t>
        </is>
      </c>
      <c r="E925" t="inlineStr">
        <is>
          <t>Director of Sales</t>
        </is>
      </c>
      <c r="F925">
        <f>HYPERLINK("https://app.apollo.io/#/people/57df76e7a6da980ad8f178e3")</f>
        <v/>
      </c>
      <c r="G925" t="inlineStr">
        <is>
          <t>Ashley Tate</t>
        </is>
      </c>
      <c r="H925">
        <f>HYPERLINK("https://app.apollo.io/#/organizations/5569e137736964257163a700")</f>
        <v/>
      </c>
      <c r="I925">
        <f>HYPERLINK("Not Found")</f>
        <v/>
      </c>
      <c r="J925">
        <f>HYPERLINK("http://www.linkedin.com/company/ashley-tate")</f>
        <v/>
      </c>
      <c r="K925">
        <f>HYPERLINK("Not Found")</f>
        <v/>
      </c>
      <c r="L925">
        <f>HYPERLINK("Not Found")</f>
        <v/>
      </c>
      <c r="M925" t="inlineStr">
        <is>
          <t>Northampton, United Kingdom</t>
        </is>
      </c>
      <c r="N925" t="inlineStr">
        <is>
          <t>3</t>
        </is>
      </c>
      <c r="O925" t="inlineStr">
        <is>
          <t>Commercial Real Estate</t>
        </is>
      </c>
      <c r="P925" t="inlineStr">
        <is>
          <t>business sales</t>
        </is>
      </c>
      <c r="Q925" t="inlineStr">
        <is>
          <t>Not Found</t>
        </is>
      </c>
    </row>
    <row r="926">
      <c r="A926" t="inlineStr">
        <is>
          <t>54a797007468696b7f169d42</t>
        </is>
      </c>
      <c r="B926" t="inlineStr">
        <is>
          <t>Peter Dunne</t>
        </is>
      </c>
      <c r="C926">
        <f>HYPERLINK("http://www.linkedin.com/in/peter-dunne-3b083724")</f>
        <v/>
      </c>
      <c r="D926" t="inlineStr">
        <is>
          <t>Not Found</t>
        </is>
      </c>
      <c r="E926" t="inlineStr">
        <is>
          <t>Regional operations Director</t>
        </is>
      </c>
      <c r="F926">
        <f>HYPERLINK("https://app.apollo.io/#/people/54a797007468696b7f169d42")</f>
        <v/>
      </c>
      <c r="G926" t="inlineStr">
        <is>
          <t>CBRE Global Workplace Solutions (GWS)</t>
        </is>
      </c>
      <c r="H926">
        <f>HYPERLINK("https://app.apollo.io/#/accounts/6509fed6f449800001b69a15")</f>
        <v/>
      </c>
      <c r="I926">
        <f>HYPERLINK("http://www.coor.com/")</f>
        <v/>
      </c>
      <c r="J926">
        <f>HYPERLINK("http://www.linkedin.com/company/cbre-gws")</f>
        <v/>
      </c>
      <c r="K926">
        <f>HYPERLINK("Not Found")</f>
        <v/>
      </c>
      <c r="L926">
        <f>HYPERLINK("Not Found")</f>
        <v/>
      </c>
      <c r="M926" t="inlineStr">
        <is>
          <t>United Kingdom</t>
        </is>
      </c>
      <c r="N926" t="inlineStr">
        <is>
          <t>15,000</t>
        </is>
      </c>
      <c r="O926" t="inlineStr">
        <is>
          <t>Commercial Real Estate</t>
        </is>
      </c>
      <c r="P926" t="inlineStr">
        <is>
          <t>project management,advisory,transaction services</t>
        </is>
      </c>
      <c r="Q926" t="inlineStr">
        <is>
          <t>Not Found</t>
        </is>
      </c>
    </row>
    <row r="927">
      <c r="A927" t="inlineStr">
        <is>
          <t>6112230ae50a0e000190a633</t>
        </is>
      </c>
      <c r="B927" t="inlineStr">
        <is>
          <t>Jack Taylor</t>
        </is>
      </c>
      <c r="C927">
        <f>HYPERLINK("http://www.linkedin.com/in/jack-taylor-05466945")</f>
        <v/>
      </c>
      <c r="D927" t="inlineStr">
        <is>
          <t>Not Found</t>
        </is>
      </c>
      <c r="E927" t="inlineStr">
        <is>
          <t>Corporate Finance Director</t>
        </is>
      </c>
      <c r="F927">
        <f>HYPERLINK("https://app.apollo.io/#/people/6112230ae50a0e000190a633")</f>
        <v/>
      </c>
      <c r="G927" t="inlineStr">
        <is>
          <t>Landsec</t>
        </is>
      </c>
      <c r="H927">
        <f>HYPERLINK("https://app.apollo.io/#/accounts/6578b86a75dc3a02ccc995c8")</f>
        <v/>
      </c>
      <c r="I927">
        <f>HYPERLINK("http://www.landsec.com/")</f>
        <v/>
      </c>
      <c r="J927">
        <f>HYPERLINK("http://www.linkedin.com/company/landsec")</f>
        <v/>
      </c>
      <c r="K927">
        <f>HYPERLINK("https://twitter.com/landsecgroup?lang=en")</f>
        <v/>
      </c>
      <c r="L927">
        <f>HYPERLINK("https://facebook.com/pages/category/Real-Estate-Company/Landsec-Group-335042077050643/")</f>
        <v/>
      </c>
      <c r="M927" t="inlineStr">
        <is>
          <t>London, United Kingdom</t>
        </is>
      </c>
      <c r="N927" t="inlineStr">
        <is>
          <t>860</t>
        </is>
      </c>
      <c r="O927" t="inlineStr">
        <is>
          <t>Commercial Real Estate</t>
        </is>
      </c>
      <c r="P927" t="inlineStr">
        <is>
          <t>property investment,management &amp; development</t>
        </is>
      </c>
      <c r="Q927" t="inlineStr">
        <is>
          <t>Not Found</t>
        </is>
      </c>
    </row>
    <row r="928">
      <c r="A928" t="inlineStr">
        <is>
          <t>610d32c17e3fe80001bd2558</t>
        </is>
      </c>
      <c r="B928" t="inlineStr">
        <is>
          <t>Nigel Roberts</t>
        </is>
      </c>
      <c r="C928">
        <f>HYPERLINK("http://www.linkedin.com/in/nigel-roberts-2588381")</f>
        <v/>
      </c>
      <c r="D928" t="inlineStr">
        <is>
          <t>Not Found</t>
        </is>
      </c>
      <c r="E928" t="inlineStr">
        <is>
          <t>Commercial Director, GWS</t>
        </is>
      </c>
      <c r="F928">
        <f>HYPERLINK("https://app.apollo.io/#/people/610d32c17e3fe80001bd2558")</f>
        <v/>
      </c>
      <c r="G928" t="inlineStr">
        <is>
          <t>CBRE Global Workplace Solutions (GWS)</t>
        </is>
      </c>
      <c r="H928">
        <f>HYPERLINK("https://app.apollo.io/#/accounts/6509fed6f449800001b69a15")</f>
        <v/>
      </c>
      <c r="I928">
        <f>HYPERLINK("http://www.coor.com/")</f>
        <v/>
      </c>
      <c r="J928">
        <f>HYPERLINK("http://www.linkedin.com/company/cbre-gws")</f>
        <v/>
      </c>
      <c r="K928">
        <f>HYPERLINK("Not Found")</f>
        <v/>
      </c>
      <c r="L928">
        <f>HYPERLINK("Not Found")</f>
        <v/>
      </c>
      <c r="M928" t="inlineStr">
        <is>
          <t>Beaconsfield, United Kingdom</t>
        </is>
      </c>
      <c r="N928" t="inlineStr">
        <is>
          <t>15,000</t>
        </is>
      </c>
      <c r="O928" t="inlineStr">
        <is>
          <t>Commercial Real Estate</t>
        </is>
      </c>
      <c r="P928" t="inlineStr">
        <is>
          <t>project management,advisory,transaction services</t>
        </is>
      </c>
      <c r="Q928" t="inlineStr">
        <is>
          <t>Not Found</t>
        </is>
      </c>
    </row>
    <row r="929">
      <c r="A929" t="inlineStr">
        <is>
          <t>54a325db7468692e71dad257</t>
        </is>
      </c>
      <c r="B929" t="inlineStr">
        <is>
          <t>James Haestier</t>
        </is>
      </c>
      <c r="C929">
        <f>HYPERLINK("http://www.linkedin.com/in/james-haestier")</f>
        <v/>
      </c>
      <c r="D929" t="inlineStr">
        <is>
          <t>Not Found</t>
        </is>
      </c>
      <c r="E929" t="inlineStr">
        <is>
          <t>Director Industrial &amp; Logistics</t>
        </is>
      </c>
      <c r="F929">
        <f>HYPERLINK("https://app.apollo.io/#/people/54a325db7468692e71dad257")</f>
        <v/>
      </c>
      <c r="G929" t="inlineStr">
        <is>
          <t>Colliers</t>
        </is>
      </c>
      <c r="H929">
        <f>HYPERLINK("https://app.apollo.io/#/accounts/6578c2e248f92e02cc97a7cd")</f>
        <v/>
      </c>
      <c r="I929">
        <f>HYPERLINK("http://www.colliers.com/")</f>
        <v/>
      </c>
      <c r="J929">
        <f>HYPERLINK("http://www.linkedin.com/company/colliers")</f>
        <v/>
      </c>
      <c r="K929">
        <f>HYPERLINK("https://twitter.com/collierscanada")</f>
        <v/>
      </c>
      <c r="L929">
        <f>HYPERLINK("Not Found")</f>
        <v/>
      </c>
      <c r="M929" t="inlineStr">
        <is>
          <t>London, United Kingdom</t>
        </is>
      </c>
      <c r="N929" t="inlineStr">
        <is>
          <t>25,000</t>
        </is>
      </c>
      <c r="O929" t="inlineStr">
        <is>
          <t>Commercial Real Estate</t>
        </is>
      </c>
      <c r="P929" t="inlineStr">
        <is>
          <t>brokerage &amp; agency,corporate solutions</t>
        </is>
      </c>
      <c r="Q929" t="inlineStr">
        <is>
          <t>Not Found</t>
        </is>
      </c>
    </row>
    <row r="930">
      <c r="A930" t="inlineStr">
        <is>
          <t>54ebad51746869444cfffe0b</t>
        </is>
      </c>
      <c r="B930" t="inlineStr">
        <is>
          <t>Catriona Calder</t>
        </is>
      </c>
      <c r="C930">
        <f>HYPERLINK("http://www.linkedin.com/in/catriona-calder-9b932914")</f>
        <v/>
      </c>
      <c r="D930" t="inlineStr">
        <is>
          <t>Not Found</t>
        </is>
      </c>
      <c r="E930" t="inlineStr">
        <is>
          <t>UK Procurement Director</t>
        </is>
      </c>
      <c r="F930">
        <f>HYPERLINK("https://app.apollo.io/#/people/54ebad51746869444cfffe0b")</f>
        <v/>
      </c>
      <c r="G930" t="inlineStr">
        <is>
          <t>CBRE Global Workplace Solutions (GWS)</t>
        </is>
      </c>
      <c r="H930">
        <f>HYPERLINK("https://app.apollo.io/#/accounts/6509fed6f449800001b69a15")</f>
        <v/>
      </c>
      <c r="I930">
        <f>HYPERLINK("http://www.coor.com/")</f>
        <v/>
      </c>
      <c r="J930">
        <f>HYPERLINK("http://www.linkedin.com/company/cbre-gws")</f>
        <v/>
      </c>
      <c r="K930">
        <f>HYPERLINK("Not Found")</f>
        <v/>
      </c>
      <c r="L930">
        <f>HYPERLINK("Not Found")</f>
        <v/>
      </c>
      <c r="M930" t="inlineStr">
        <is>
          <t>London, United Kingdom</t>
        </is>
      </c>
      <c r="N930" t="inlineStr">
        <is>
          <t>15,000</t>
        </is>
      </c>
      <c r="O930" t="inlineStr">
        <is>
          <t>Commercial Real Estate</t>
        </is>
      </c>
      <c r="P930" t="inlineStr">
        <is>
          <t>project management,advisory,transaction services</t>
        </is>
      </c>
      <c r="Q930" t="inlineStr">
        <is>
          <t>Not Found</t>
        </is>
      </c>
    </row>
    <row r="931">
      <c r="A931" t="inlineStr">
        <is>
          <t>608a753c38a13a0001ee773d</t>
        </is>
      </c>
      <c r="B931" t="inlineStr">
        <is>
          <t>John Barker</t>
        </is>
      </c>
      <c r="C931">
        <f>HYPERLINK("http://www.linkedin.com/in/john-barker-78b43b3")</f>
        <v/>
      </c>
      <c r="D931" t="inlineStr">
        <is>
          <t>Not Found</t>
        </is>
      </c>
      <c r="E931" t="inlineStr">
        <is>
          <t>Senior Development Director</t>
        </is>
      </c>
      <c r="F931">
        <f>HYPERLINK("https://app.apollo.io/#/people/608a753c38a13a0001ee773d")</f>
        <v/>
      </c>
      <c r="G931" t="inlineStr">
        <is>
          <t>Newlands Property Developments LLP</t>
        </is>
      </c>
      <c r="H931">
        <f>HYPERLINK("https://app.apollo.io/#/organizations/5da2a196ee571f000133c09a")</f>
        <v/>
      </c>
      <c r="I931">
        <f>HYPERLINK("http://www.newlandsuk.com/")</f>
        <v/>
      </c>
      <c r="J931">
        <f>HYPERLINK("http://www.linkedin.com/company/newlands-property-developments-llp")</f>
        <v/>
      </c>
      <c r="K931">
        <f>HYPERLINK("Not Found")</f>
        <v/>
      </c>
      <c r="L931">
        <f>HYPERLINK("Not Found")</f>
        <v/>
      </c>
      <c r="M931" t="inlineStr">
        <is>
          <t>Saint Paul's Walden, United Kingdom</t>
        </is>
      </c>
      <c r="N931" t="inlineStr">
        <is>
          <t>14</t>
        </is>
      </c>
      <c r="O931" t="inlineStr">
        <is>
          <t>Commercial Real Estate</t>
        </is>
      </c>
      <c r="P931" t="inlineStr">
        <is>
          <t>commercial real estate</t>
        </is>
      </c>
      <c r="Q931" t="inlineStr">
        <is>
          <t>Not Found</t>
        </is>
      </c>
    </row>
    <row r="932">
      <c r="A932" t="inlineStr">
        <is>
          <t>60fad5aa06b9ce0001ba26f3</t>
        </is>
      </c>
      <c r="B932" t="inlineStr">
        <is>
          <t>Robert Hume</t>
        </is>
      </c>
      <c r="C932">
        <f>HYPERLINK("http://www.linkedin.com/in/robert-hume-6705892a")</f>
        <v/>
      </c>
      <c r="D932" t="inlineStr">
        <is>
          <t>Not Found</t>
        </is>
      </c>
      <c r="E932" t="inlineStr">
        <is>
          <t>Senior Development Director</t>
        </is>
      </c>
      <c r="F932">
        <f>HYPERLINK("https://app.apollo.io/#/people/60fad5aa06b9ce0001ba26f3")</f>
        <v/>
      </c>
      <c r="G932" t="inlineStr">
        <is>
          <t>Landsec</t>
        </is>
      </c>
      <c r="H932">
        <f>HYPERLINK("https://app.apollo.io/#/accounts/6578b86a75dc3a02ccc995c8")</f>
        <v/>
      </c>
      <c r="I932">
        <f>HYPERLINK("http://www.landsec.com/")</f>
        <v/>
      </c>
      <c r="J932">
        <f>HYPERLINK("http://www.linkedin.com/company/landsec")</f>
        <v/>
      </c>
      <c r="K932">
        <f>HYPERLINK("https://twitter.com/landsecgroup?lang=en")</f>
        <v/>
      </c>
      <c r="L932">
        <f>HYPERLINK("https://facebook.com/pages/category/Real-Estate-Company/Landsec-Group-335042077050643/")</f>
        <v/>
      </c>
      <c r="M932" t="inlineStr">
        <is>
          <t>England, United Kingdom</t>
        </is>
      </c>
      <c r="N932" t="inlineStr">
        <is>
          <t>860</t>
        </is>
      </c>
      <c r="O932" t="inlineStr">
        <is>
          <t>Commercial Real Estate</t>
        </is>
      </c>
      <c r="P932" t="inlineStr">
        <is>
          <t>property investment,management &amp; development</t>
        </is>
      </c>
      <c r="Q932" t="inlineStr">
        <is>
          <t>Not Found</t>
        </is>
      </c>
    </row>
    <row r="933">
      <c r="A933" t="inlineStr">
        <is>
          <t>5fbfad7ddb6e730001287bc1</t>
        </is>
      </c>
      <c r="B933" t="inlineStr">
        <is>
          <t>Jason Collins</t>
        </is>
      </c>
      <c r="C933">
        <f>HYPERLINK("http://www.linkedin.com/in/jason-collins-02a82a12")</f>
        <v/>
      </c>
      <c r="D933" t="inlineStr">
        <is>
          <t>Not Found</t>
        </is>
      </c>
      <c r="E933" t="inlineStr">
        <is>
          <t>Strategic Programs Director</t>
        </is>
      </c>
      <c r="F933">
        <f>HYPERLINK("https://app.apollo.io/#/people/5fbfad7ddb6e730001287bc1")</f>
        <v/>
      </c>
      <c r="G933" t="inlineStr">
        <is>
          <t>CBRE Global Workplace Solutions (GWS)</t>
        </is>
      </c>
      <c r="H933">
        <f>HYPERLINK("https://app.apollo.io/#/accounts/6509fed6f449800001b69a15")</f>
        <v/>
      </c>
      <c r="I933">
        <f>HYPERLINK("http://www.coor.com/")</f>
        <v/>
      </c>
      <c r="J933">
        <f>HYPERLINK("http://www.linkedin.com/company/cbre-gws")</f>
        <v/>
      </c>
      <c r="K933">
        <f>HYPERLINK("Not Found")</f>
        <v/>
      </c>
      <c r="L933">
        <f>HYPERLINK("Not Found")</f>
        <v/>
      </c>
      <c r="M933" t="inlineStr">
        <is>
          <t>London, United Kingdom</t>
        </is>
      </c>
      <c r="N933" t="inlineStr">
        <is>
          <t>15,000</t>
        </is>
      </c>
      <c r="O933" t="inlineStr">
        <is>
          <t>Commercial Real Estate</t>
        </is>
      </c>
      <c r="P933" t="inlineStr">
        <is>
          <t>project management,advisory,transaction services</t>
        </is>
      </c>
      <c r="Q933" t="inlineStr">
        <is>
          <t>Not Found</t>
        </is>
      </c>
    </row>
    <row r="934">
      <c r="A934" t="inlineStr">
        <is>
          <t>61a1c367f0e48b000125abaa</t>
        </is>
      </c>
      <c r="B934" t="inlineStr">
        <is>
          <t>Andrew Pratt</t>
        </is>
      </c>
      <c r="C934">
        <f>HYPERLINK("http://www.linkedin.com/in/andrew-pratt-mrics-5a245656")</f>
        <v/>
      </c>
      <c r="D934" t="inlineStr">
        <is>
          <t>Not Found</t>
        </is>
      </c>
      <c r="E934" t="inlineStr">
        <is>
          <t>Director - Hotels Valuation</t>
        </is>
      </c>
      <c r="F934">
        <f>HYPERLINK("https://app.apollo.io/#/people/61a1c367f0e48b000125abaa")</f>
        <v/>
      </c>
      <c r="G934" t="inlineStr">
        <is>
          <t>Colliers</t>
        </is>
      </c>
      <c r="H934">
        <f>HYPERLINK("https://app.apollo.io/#/accounts/64aaf6c63d556a0001e8eda6")</f>
        <v/>
      </c>
      <c r="I934">
        <f>HYPERLINK("http://www.colliers.com/")</f>
        <v/>
      </c>
      <c r="J934">
        <f>HYPERLINK("http://www.linkedin.com/company/colliers")</f>
        <v/>
      </c>
      <c r="K934">
        <f>HYPERLINK("https://twitter.com/Colliers")</f>
        <v/>
      </c>
      <c r="L934">
        <f>HYPERLINK("https://facebook.com/colliersinternational/")</f>
        <v/>
      </c>
      <c r="M934" t="inlineStr">
        <is>
          <t>Glasgow, United Kingdom</t>
        </is>
      </c>
      <c r="N934" t="inlineStr">
        <is>
          <t>25,000</t>
        </is>
      </c>
      <c r="O934" t="inlineStr">
        <is>
          <t>Commercial Real Estate</t>
        </is>
      </c>
      <c r="P934" t="inlineStr">
        <is>
          <t>brokerage &amp; agency,corporate solutions</t>
        </is>
      </c>
      <c r="Q934" t="inlineStr">
        <is>
          <t>Not Found</t>
        </is>
      </c>
    </row>
    <row r="935">
      <c r="A935" t="inlineStr">
        <is>
          <t>54a71e5474686965d933f016</t>
        </is>
      </c>
      <c r="B935" t="inlineStr">
        <is>
          <t>Chris Millard</t>
        </is>
      </c>
      <c r="C935">
        <f>HYPERLINK("http://www.linkedin.com/in/chris-millard-03965217")</f>
        <v/>
      </c>
      <c r="D935" t="inlineStr">
        <is>
          <t>Not Found</t>
        </is>
      </c>
      <c r="E935" t="inlineStr">
        <is>
          <t>Senior Portfolio Director</t>
        </is>
      </c>
      <c r="F935">
        <f>HYPERLINK("https://app.apollo.io/#/people/54a71e5474686965d933f016")</f>
        <v/>
      </c>
      <c r="G935" t="inlineStr">
        <is>
          <t>Landsec</t>
        </is>
      </c>
      <c r="H935">
        <f>HYPERLINK("https://app.apollo.io/#/accounts/6578b86a75dc3a02ccc995c8")</f>
        <v/>
      </c>
      <c r="I935">
        <f>HYPERLINK("http://www.landsec.com/")</f>
        <v/>
      </c>
      <c r="J935">
        <f>HYPERLINK("http://www.linkedin.com/company/landsec")</f>
        <v/>
      </c>
      <c r="K935">
        <f>HYPERLINK("https://twitter.com/landsecgroup?lang=en")</f>
        <v/>
      </c>
      <c r="L935">
        <f>HYPERLINK("https://facebook.com/pages/category/Real-Estate-Company/Landsec-Group-335042077050643/")</f>
        <v/>
      </c>
      <c r="M935" t="inlineStr">
        <is>
          <t>England, United Kingdom</t>
        </is>
      </c>
      <c r="N935" t="inlineStr">
        <is>
          <t>860</t>
        </is>
      </c>
      <c r="O935" t="inlineStr">
        <is>
          <t>Commercial Real Estate</t>
        </is>
      </c>
      <c r="P935" t="inlineStr">
        <is>
          <t>property investment,management &amp; development</t>
        </is>
      </c>
      <c r="Q935" t="inlineStr">
        <is>
          <t>Not Found</t>
        </is>
      </c>
    </row>
    <row r="936">
      <c r="A936" t="inlineStr">
        <is>
          <t>60fab513babc8f0001bfe770</t>
        </is>
      </c>
      <c r="B936" t="inlineStr">
        <is>
          <t>Martin Barnett</t>
        </is>
      </c>
      <c r="C936">
        <f>HYPERLINK("http://www.linkedin.com/in/martin-barnett-7ab56b54")</f>
        <v/>
      </c>
      <c r="D936" t="inlineStr">
        <is>
          <t>Not Found</t>
        </is>
      </c>
      <c r="E936" t="inlineStr">
        <is>
          <t>Director - Operations &amp; Sustainability</t>
        </is>
      </c>
      <c r="F936">
        <f>HYPERLINK("https://app.apollo.io/#/people/60fab513babc8f0001bfe770")</f>
        <v/>
      </c>
      <c r="G936" t="inlineStr">
        <is>
          <t>Romulus</t>
        </is>
      </c>
      <c r="H936">
        <f>HYPERLINK("https://app.apollo.io/#/organizations/619091c8afa262000168de4b")</f>
        <v/>
      </c>
      <c r="I936">
        <f>HYPERLINK("http://www.romulusuk.com/")</f>
        <v/>
      </c>
      <c r="J936">
        <f>HYPERLINK("http://www.linkedin.com/company/romulus-construction-limited")</f>
        <v/>
      </c>
      <c r="K936">
        <f>HYPERLINK("Not Found")</f>
        <v/>
      </c>
      <c r="L936">
        <f>HYPERLINK("Not Found")</f>
        <v/>
      </c>
      <c r="M936" t="inlineStr">
        <is>
          <t>London, United Kingdom</t>
        </is>
      </c>
      <c r="N936" t="inlineStr">
        <is>
          <t>41</t>
        </is>
      </c>
      <c r="O936" t="inlineStr">
        <is>
          <t>Commercial Real Estate</t>
        </is>
      </c>
      <c r="P936" t="inlineStr">
        <is>
          <t>commercial real estate,serviced offices,retail</t>
        </is>
      </c>
      <c r="Q936" t="inlineStr">
        <is>
          <t>Not Found</t>
        </is>
      </c>
    </row>
    <row r="937">
      <c r="A937" t="inlineStr">
        <is>
          <t>60dc6d32e28775000188ef4a</t>
        </is>
      </c>
      <c r="B937" t="inlineStr">
        <is>
          <t>Mark Adrain</t>
        </is>
      </c>
      <c r="C937">
        <f>HYPERLINK("http://www.linkedin.com/in/mark-adrain-04511641")</f>
        <v/>
      </c>
      <c r="D937" t="inlineStr">
        <is>
          <t>Not Found</t>
        </is>
      </c>
      <c r="E937" t="inlineStr">
        <is>
          <t>Group Property Director</t>
        </is>
      </c>
      <c r="F937">
        <f>HYPERLINK("https://app.apollo.io/#/people/60dc6d32e28775000188ef4a")</f>
        <v/>
      </c>
      <c r="G937" t="inlineStr">
        <is>
          <t>The Henderson Group</t>
        </is>
      </c>
      <c r="H937">
        <f>HYPERLINK("https://app.apollo.io/#/organizations/5d09f9f080f93e6153848ad0")</f>
        <v/>
      </c>
      <c r="I937">
        <f>HYPERLINK("http://www.hendersongroupinc.com/")</f>
        <v/>
      </c>
      <c r="J937">
        <f>HYPERLINK("http://www.linkedin.com/company/hendersongroupinc")</f>
        <v/>
      </c>
      <c r="K937">
        <f>HYPERLINK("https://twitter.com/Henderson_Group")</f>
        <v/>
      </c>
      <c r="L937">
        <f>HYPERLINK("https://www.facebook.com/pages/The-Henderson-Group-Inc/244842742302560")</f>
        <v/>
      </c>
      <c r="M937" t="inlineStr">
        <is>
          <t>United Kingdom</t>
        </is>
      </c>
      <c r="N937" t="inlineStr">
        <is>
          <t>23</t>
        </is>
      </c>
      <c r="O937" t="inlineStr">
        <is>
          <t>Commercial Real Estate</t>
        </is>
      </c>
      <c r="P937" t="inlineStr">
        <is>
          <t>real estate development,office space,flex space</t>
        </is>
      </c>
      <c r="Q937" t="inlineStr">
        <is>
          <t>Not Found</t>
        </is>
      </c>
    </row>
    <row r="938">
      <c r="A938" t="inlineStr">
        <is>
          <t>54a306ad7468692e7155de4e</t>
        </is>
      </c>
      <c r="B938" t="inlineStr">
        <is>
          <t>Zara Lockwood</t>
        </is>
      </c>
      <c r="C938">
        <f>HYPERLINK("http://www.linkedin.com/in/zara-lockwood-41475579")</f>
        <v/>
      </c>
      <c r="D938" t="inlineStr">
        <is>
          <t>Not Found</t>
        </is>
      </c>
      <c r="E938" t="inlineStr">
        <is>
          <t>External Communications Director</t>
        </is>
      </c>
      <c r="F938">
        <f>HYPERLINK("https://app.apollo.io/#/people/54a306ad7468692e7155de4e")</f>
        <v/>
      </c>
      <c r="G938" t="inlineStr">
        <is>
          <t>Landsec</t>
        </is>
      </c>
      <c r="H938">
        <f>HYPERLINK("https://app.apollo.io/#/accounts/6578b86a75dc3a02ccc995c8")</f>
        <v/>
      </c>
      <c r="I938">
        <f>HYPERLINK("http://www.landsec.com/")</f>
        <v/>
      </c>
      <c r="J938">
        <f>HYPERLINK("http://www.linkedin.com/company/landsec")</f>
        <v/>
      </c>
      <c r="K938">
        <f>HYPERLINK("https://twitter.com/landsecgroup?lang=en")</f>
        <v/>
      </c>
      <c r="L938">
        <f>HYPERLINK("https://facebook.com/pages/category/Real-Estate-Company/Landsec-Group-335042077050643/")</f>
        <v/>
      </c>
      <c r="M938" t="inlineStr">
        <is>
          <t>United Kingdom</t>
        </is>
      </c>
      <c r="N938" t="inlineStr">
        <is>
          <t>860</t>
        </is>
      </c>
      <c r="O938" t="inlineStr">
        <is>
          <t>Commercial Real Estate</t>
        </is>
      </c>
      <c r="P938" t="inlineStr">
        <is>
          <t>property investment,management &amp; development</t>
        </is>
      </c>
      <c r="Q938" t="inlineStr">
        <is>
          <t>Not Found</t>
        </is>
      </c>
    </row>
    <row r="939">
      <c r="A939" t="inlineStr">
        <is>
          <t>54a2700e7468693fdab31423</t>
        </is>
      </c>
      <c r="B939" t="inlineStr">
        <is>
          <t>William Jolly</t>
        </is>
      </c>
      <c r="C939">
        <f>HYPERLINK("http://www.linkedin.com/in/william-jolly-12a29633")</f>
        <v/>
      </c>
      <c r="D939" t="inlineStr">
        <is>
          <t>Not Found</t>
        </is>
      </c>
      <c r="E939" t="inlineStr">
        <is>
          <t>Director of Automotive &amp; Roadside</t>
        </is>
      </c>
      <c r="F939">
        <f>HYPERLINK("https://app.apollo.io/#/people/54a2700e7468693fdab31423")</f>
        <v/>
      </c>
      <c r="G939" t="inlineStr">
        <is>
          <t>Colliers</t>
        </is>
      </c>
      <c r="H939">
        <f>HYPERLINK("https://app.apollo.io/#/accounts/64aaf6c63d556a0001e8eda6")</f>
        <v/>
      </c>
      <c r="I939">
        <f>HYPERLINK("http://www.colliers.com/")</f>
        <v/>
      </c>
      <c r="J939">
        <f>HYPERLINK("http://www.linkedin.com/company/colliers")</f>
        <v/>
      </c>
      <c r="K939">
        <f>HYPERLINK("https://twitter.com/Colliers")</f>
        <v/>
      </c>
      <c r="L939">
        <f>HYPERLINK("https://facebook.com/colliersinternational/")</f>
        <v/>
      </c>
      <c r="M939" t="inlineStr">
        <is>
          <t>Bristol, United Kingdom</t>
        </is>
      </c>
      <c r="N939" t="inlineStr">
        <is>
          <t>25,000</t>
        </is>
      </c>
      <c r="O939" t="inlineStr">
        <is>
          <t>Commercial Real Estate</t>
        </is>
      </c>
      <c r="P939" t="inlineStr">
        <is>
          <t>brokerage &amp; agency,corporate solutions</t>
        </is>
      </c>
      <c r="Q939" t="inlineStr">
        <is>
          <t>Not Found</t>
        </is>
      </c>
    </row>
    <row r="940">
      <c r="A940" t="inlineStr">
        <is>
          <t>5abe3b79a6da9840e43eba18</t>
        </is>
      </c>
      <c r="B940" t="inlineStr">
        <is>
          <t>Ben Nicholson</t>
        </is>
      </c>
      <c r="C940">
        <f>HYPERLINK("http://www.linkedin.com/in/ben-nicholson-47225b44")</f>
        <v/>
      </c>
      <c r="D940" t="inlineStr">
        <is>
          <t>Not Found</t>
        </is>
      </c>
      <c r="E940" t="inlineStr">
        <is>
          <t>Senior Associate Director</t>
        </is>
      </c>
      <c r="F940">
        <f>HYPERLINK("https://app.apollo.io/#/people/5abe3b79a6da9840e43eba18")</f>
        <v/>
      </c>
      <c r="G940" t="inlineStr">
        <is>
          <t>Burley Browne Chartered Surveyors</t>
        </is>
      </c>
      <c r="H940">
        <f>HYPERLINK("https://app.apollo.io/#/accounts/6578be172388ae0534c6b657")</f>
        <v/>
      </c>
      <c r="I940">
        <f>HYPERLINK("http://www.burleybrowne.co.uk/")</f>
        <v/>
      </c>
      <c r="J940">
        <f>HYPERLINK("http://www.linkedin.com/company/burley-browne-chartered-surveyors")</f>
        <v/>
      </c>
      <c r="K940">
        <f>HYPERLINK("https://twitter.com/BurleyBrowne")</f>
        <v/>
      </c>
      <c r="L940">
        <f>HYPERLINK("https://www.facebook.com/BurleyBrowne")</f>
        <v/>
      </c>
      <c r="M940" t="inlineStr">
        <is>
          <t>Sutton Coldfield, United Kingdom</t>
        </is>
      </c>
      <c r="N940" t="inlineStr">
        <is>
          <t>11</t>
        </is>
      </c>
      <c r="O940" t="inlineStr">
        <is>
          <t>Commercial Real Estate</t>
        </is>
      </c>
      <c r="P940" t="inlineStr">
        <is>
          <t>commercial property sales &amp; lettings,acquisitions</t>
        </is>
      </c>
      <c r="Q940" t="inlineStr">
        <is>
          <t>Not Found</t>
        </is>
      </c>
    </row>
    <row r="941">
      <c r="A941" t="inlineStr">
        <is>
          <t>54a5d3de7468692fa28723ac</t>
        </is>
      </c>
      <c r="B941" t="inlineStr">
        <is>
          <t>Russell Francis</t>
        </is>
      </c>
      <c r="C941">
        <f>HYPERLINK("http://www.linkedin.com/in/russell-francis-24957122")</f>
        <v/>
      </c>
      <c r="D941" t="inlineStr">
        <is>
          <t>Not Found</t>
        </is>
      </c>
      <c r="E941" t="inlineStr">
        <is>
          <t>Director, Head of Valuation</t>
        </is>
      </c>
      <c r="F941">
        <f>HYPERLINK("https://app.apollo.io/#/people/54a5d3de7468692fa28723ac")</f>
        <v/>
      </c>
      <c r="G941" t="inlineStr">
        <is>
          <t>Colliers</t>
        </is>
      </c>
      <c r="H941">
        <f>HYPERLINK("https://app.apollo.io/#/accounts/64aaf6c63d556a0001e8eda6")</f>
        <v/>
      </c>
      <c r="I941">
        <f>HYPERLINK("http://www.colliers.com/")</f>
        <v/>
      </c>
      <c r="J941">
        <f>HYPERLINK("http://www.linkedin.com/company/colliers")</f>
        <v/>
      </c>
      <c r="K941">
        <f>HYPERLINK("https://twitter.com/Colliers")</f>
        <v/>
      </c>
      <c r="L941">
        <f>HYPERLINK("https://facebook.com/colliersinternational/")</f>
        <v/>
      </c>
      <c r="M941" t="inlineStr">
        <is>
          <t>London, United Kingdom</t>
        </is>
      </c>
      <c r="N941" t="inlineStr">
        <is>
          <t>25,000</t>
        </is>
      </c>
      <c r="O941" t="inlineStr">
        <is>
          <t>Commercial Real Estate</t>
        </is>
      </c>
      <c r="P941" t="inlineStr">
        <is>
          <t>brokerage &amp; agency,corporate solutions</t>
        </is>
      </c>
      <c r="Q941" t="inlineStr">
        <is>
          <t>Not Found</t>
        </is>
      </c>
    </row>
    <row r="942">
      <c r="A942" t="inlineStr">
        <is>
          <t>5f3659569c585f014c92a561</t>
        </is>
      </c>
      <c r="B942" t="inlineStr">
        <is>
          <t>Lewis Thurlwell</t>
        </is>
      </c>
      <c r="C942">
        <f>HYPERLINK("http://www.linkedin.com/in/lewis-thurlwell-b1826a171")</f>
        <v/>
      </c>
      <c r="D942" t="inlineStr">
        <is>
          <t>Not Found</t>
        </is>
      </c>
      <c r="E942" t="inlineStr">
        <is>
          <t>Associate Projects Director</t>
        </is>
      </c>
      <c r="F942">
        <f>HYPERLINK("https://app.apollo.io/#/people/5f3659569c585f014c92a561")</f>
        <v/>
      </c>
      <c r="G942" t="inlineStr">
        <is>
          <t>CBRE Global Workplace Solutions (GWS)</t>
        </is>
      </c>
      <c r="H942">
        <f>HYPERLINK("https://app.apollo.io/#/accounts/6509fed6f449800001b69a15")</f>
        <v/>
      </c>
      <c r="I942">
        <f>HYPERLINK("http://www.coor.com/")</f>
        <v/>
      </c>
      <c r="J942">
        <f>HYPERLINK("http://www.linkedin.com/company/cbre-gws")</f>
        <v/>
      </c>
      <c r="K942">
        <f>HYPERLINK("Not Found")</f>
        <v/>
      </c>
      <c r="L942">
        <f>HYPERLINK("Not Found")</f>
        <v/>
      </c>
      <c r="M942" t="inlineStr">
        <is>
          <t>Newbury, United Kingdom</t>
        </is>
      </c>
      <c r="N942" t="inlineStr">
        <is>
          <t>15,000</t>
        </is>
      </c>
      <c r="O942" t="inlineStr">
        <is>
          <t>Commercial Real Estate</t>
        </is>
      </c>
      <c r="P942" t="inlineStr">
        <is>
          <t>project management,advisory,transaction services</t>
        </is>
      </c>
      <c r="Q942" t="inlineStr">
        <is>
          <t>Not Found</t>
        </is>
      </c>
    </row>
    <row r="943">
      <c r="A943" t="inlineStr">
        <is>
          <t>609a9c594a760a00015b3d79</t>
        </is>
      </c>
      <c r="B943" t="inlineStr">
        <is>
          <t>Maggie Charman</t>
        </is>
      </c>
      <c r="C943">
        <f>HYPERLINK("http://www.linkedin.com/in/maggie-charman-7282804")</f>
        <v/>
      </c>
      <c r="D943" t="inlineStr">
        <is>
          <t>Not Found</t>
        </is>
      </c>
      <c r="E943" t="inlineStr">
        <is>
          <t>Senior Programme Director</t>
        </is>
      </c>
      <c r="F943">
        <f>HYPERLINK("https://app.apollo.io/#/people/609a9c594a760a00015b3d79")</f>
        <v/>
      </c>
      <c r="G943" t="inlineStr">
        <is>
          <t>Colliers</t>
        </is>
      </c>
      <c r="H943">
        <f>HYPERLINK("https://app.apollo.io/#/accounts/64aaf6c63d556a0001e8eda6")</f>
        <v/>
      </c>
      <c r="I943">
        <f>HYPERLINK("http://www.colliers.com/")</f>
        <v/>
      </c>
      <c r="J943">
        <f>HYPERLINK("http://www.linkedin.com/company/colliers")</f>
        <v/>
      </c>
      <c r="K943">
        <f>HYPERLINK("https://twitter.com/Colliers")</f>
        <v/>
      </c>
      <c r="L943">
        <f>HYPERLINK("https://facebook.com/colliersinternational/")</f>
        <v/>
      </c>
      <c r="M943" t="inlineStr">
        <is>
          <t>New Alresford, United Kingdom</t>
        </is>
      </c>
      <c r="N943" t="inlineStr">
        <is>
          <t>25,000</t>
        </is>
      </c>
      <c r="O943" t="inlineStr">
        <is>
          <t>Commercial Real Estate</t>
        </is>
      </c>
      <c r="P943" t="inlineStr">
        <is>
          <t>brokerage &amp; agency,corporate solutions</t>
        </is>
      </c>
      <c r="Q943" t="inlineStr">
        <is>
          <t>Not Found</t>
        </is>
      </c>
    </row>
    <row r="944">
      <c r="A944" t="inlineStr">
        <is>
          <t>64b04e3fd1856c00018205c5</t>
        </is>
      </c>
      <c r="B944" t="inlineStr">
        <is>
          <t>Richard Stephens-Knott</t>
        </is>
      </c>
      <c r="C944">
        <f>HYPERLINK("http://www.linkedin.com/in/richardstephensknott")</f>
        <v/>
      </c>
      <c r="D944" t="inlineStr">
        <is>
          <t>Not Found</t>
        </is>
      </c>
      <c r="E944" t="inlineStr">
        <is>
          <t>Assistant Centre Director</t>
        </is>
      </c>
      <c r="F944">
        <f>HYPERLINK("https://app.apollo.io/#/people/64b04e3fd1856c00018205c5")</f>
        <v/>
      </c>
      <c r="G944" t="inlineStr">
        <is>
          <t>Landsec</t>
        </is>
      </c>
      <c r="H944">
        <f>HYPERLINK("https://app.apollo.io/#/accounts/6578b86a75dc3a02ccc995c8")</f>
        <v/>
      </c>
      <c r="I944">
        <f>HYPERLINK("http://www.landsec.com/")</f>
        <v/>
      </c>
      <c r="J944">
        <f>HYPERLINK("http://www.linkedin.com/company/landsec")</f>
        <v/>
      </c>
      <c r="K944">
        <f>HYPERLINK("https://twitter.com/landsecgroup?lang=en")</f>
        <v/>
      </c>
      <c r="L944">
        <f>HYPERLINK("https://facebook.com/pages/category/Real-Estate-Company/Landsec-Group-335042077050643/")</f>
        <v/>
      </c>
      <c r="M944" t="inlineStr">
        <is>
          <t>Penarth, United Kingdom</t>
        </is>
      </c>
      <c r="N944" t="inlineStr">
        <is>
          <t>860</t>
        </is>
      </c>
      <c r="O944" t="inlineStr">
        <is>
          <t>Commercial Real Estate</t>
        </is>
      </c>
      <c r="P944" t="inlineStr">
        <is>
          <t>property investment,management &amp; development</t>
        </is>
      </c>
      <c r="Q944" t="inlineStr">
        <is>
          <t>Not Found</t>
        </is>
      </c>
    </row>
    <row r="945">
      <c r="A945" t="inlineStr">
        <is>
          <t>608a762dbe74410001210214</t>
        </is>
      </c>
      <c r="B945" t="inlineStr">
        <is>
          <t>Gary Barlow</t>
        </is>
      </c>
      <c r="C945">
        <f>HYPERLINK("http://www.linkedin.com/in/gary-barlow-17960459")</f>
        <v/>
      </c>
      <c r="D945" t="inlineStr">
        <is>
          <t>Not Found</t>
        </is>
      </c>
      <c r="E945" t="inlineStr">
        <is>
          <t>Partner within the Project Managment &amp; Building Consultancy Team</t>
        </is>
      </c>
      <c r="F945">
        <f>HYPERLINK("https://app.apollo.io/#/people/608a762dbe74410001210214")</f>
        <v/>
      </c>
      <c r="G945" t="inlineStr">
        <is>
          <t>Levy Real Estate</t>
        </is>
      </c>
      <c r="H945">
        <f>HYPERLINK("https://app.apollo.io/#/accounts/6578bf7ebeafb901ae2d44bf")</f>
        <v/>
      </c>
      <c r="I945">
        <f>HYPERLINK("http://www.levyrealestate.co.uk/")</f>
        <v/>
      </c>
      <c r="J945">
        <f>HYPERLINK("http://www.linkedin.com/company/levyrealestate")</f>
        <v/>
      </c>
      <c r="K945">
        <f>HYPERLINK("Not Found")</f>
        <v/>
      </c>
      <c r="L945">
        <f>HYPERLINK("Not Found")</f>
        <v/>
      </c>
      <c r="M945" t="inlineStr">
        <is>
          <t>London, United Kingdom</t>
        </is>
      </c>
      <c r="N945" t="inlineStr">
        <is>
          <t>50</t>
        </is>
      </c>
      <c r="O945" t="inlineStr">
        <is>
          <t>Commercial Real Estate</t>
        </is>
      </c>
      <c r="Q945" t="inlineStr">
        <is>
          <t>Not Found</t>
        </is>
      </c>
    </row>
    <row r="946">
      <c r="A946" t="inlineStr">
        <is>
          <t>57d8d2d6a6da98722229eb93</t>
        </is>
      </c>
      <c r="B946" t="inlineStr">
        <is>
          <t>Thomas Maxey</t>
        </is>
      </c>
      <c r="C946">
        <f>HYPERLINK("http://www.linkedin.com/in/thomas-maxey-485679103")</f>
        <v/>
      </c>
      <c r="D946" t="inlineStr">
        <is>
          <t>Not Found</t>
        </is>
      </c>
      <c r="E946" t="inlineStr">
        <is>
          <t>Non Executive Director</t>
        </is>
      </c>
      <c r="F946">
        <f>HYPERLINK("https://app.apollo.io/#/people/57d8d2d6a6da98722229eb93")</f>
        <v/>
      </c>
      <c r="G946" t="inlineStr">
        <is>
          <t>Estate Incomes Limited</t>
        </is>
      </c>
      <c r="H946">
        <f>HYPERLINK("https://app.apollo.io/#/organizations/55922a6273696418f663a600")</f>
        <v/>
      </c>
      <c r="I946">
        <f>HYPERLINK("http://www.estateincomes.co.uk/")</f>
        <v/>
      </c>
      <c r="J946">
        <f>HYPERLINK("http://www.linkedin.com/company/estate-incomes-limited")</f>
        <v/>
      </c>
      <c r="K946">
        <f>HYPERLINK("Not Found")</f>
        <v/>
      </c>
      <c r="L946">
        <f>HYPERLINK("Not Found")</f>
        <v/>
      </c>
      <c r="M946" t="inlineStr">
        <is>
          <t>London, United Kingdom</t>
        </is>
      </c>
      <c r="N946" t="inlineStr">
        <is>
          <t>4</t>
        </is>
      </c>
      <c r="O946" t="inlineStr">
        <is>
          <t>Commercial Real Estate</t>
        </is>
      </c>
      <c r="Q946" t="inlineStr">
        <is>
          <t>Not Found</t>
        </is>
      </c>
    </row>
    <row r="947">
      <c r="A947" t="inlineStr">
        <is>
          <t>60e680f82e2d9100018eb009</t>
        </is>
      </c>
      <c r="B947" t="inlineStr">
        <is>
          <t>Anthony Wright</t>
        </is>
      </c>
      <c r="C947">
        <f>HYPERLINK("http://www.linkedin.com/in/anthony-wright-4a73b8105")</f>
        <v/>
      </c>
      <c r="D947" t="inlineStr">
        <is>
          <t>Not Found</t>
        </is>
      </c>
      <c r="E947" t="inlineStr">
        <is>
          <t>Global Director Of Technology</t>
        </is>
      </c>
      <c r="F947">
        <f>HYPERLINK("https://app.apollo.io/#/people/60e680f82e2d9100018eb009")</f>
        <v/>
      </c>
      <c r="G947" t="inlineStr">
        <is>
          <t>CBRE Global Workplace Solutions (GWS)</t>
        </is>
      </c>
      <c r="H947">
        <f>HYPERLINK("https://app.apollo.io/#/accounts/6509fed6f449800001b69a15")</f>
        <v/>
      </c>
      <c r="I947">
        <f>HYPERLINK("http://www.coor.com/")</f>
        <v/>
      </c>
      <c r="J947">
        <f>HYPERLINK("http://www.linkedin.com/company/cbre-gws")</f>
        <v/>
      </c>
      <c r="K947">
        <f>HYPERLINK("Not Found")</f>
        <v/>
      </c>
      <c r="L947">
        <f>HYPERLINK("Not Found")</f>
        <v/>
      </c>
      <c r="M947" t="inlineStr">
        <is>
          <t>London, United Kingdom</t>
        </is>
      </c>
      <c r="N947" t="inlineStr">
        <is>
          <t>15,000</t>
        </is>
      </c>
      <c r="O947" t="inlineStr">
        <is>
          <t>Commercial Real Estate</t>
        </is>
      </c>
      <c r="P947" t="inlineStr">
        <is>
          <t>project management,advisory,transaction services</t>
        </is>
      </c>
      <c r="Q947" t="inlineStr">
        <is>
          <t>Not Found</t>
        </is>
      </c>
    </row>
    <row r="948">
      <c r="A948" t="inlineStr">
        <is>
          <t>57d9a04ba6da987282c36f7f</t>
        </is>
      </c>
      <c r="B948" t="inlineStr">
        <is>
          <t>Charles Shields</t>
        </is>
      </c>
      <c r="C948">
        <f>HYPERLINK("http://www.linkedin.com/in/charles-shields-55191482")</f>
        <v/>
      </c>
      <c r="D948" t="inlineStr">
        <is>
          <t>Not Found</t>
        </is>
      </c>
      <c r="E948" t="inlineStr">
        <is>
          <t>Finance director</t>
        </is>
      </c>
      <c r="F948">
        <f>HYPERLINK("https://app.apollo.io/#/people/57d9a04ba6da987282c36f7f")</f>
        <v/>
      </c>
      <c r="G948" t="inlineStr">
        <is>
          <t>HFD Group</t>
        </is>
      </c>
      <c r="H948">
        <f>HYPERLINK("https://app.apollo.io/#/accounts/6578be5cccf69c02cc54ee0c")</f>
        <v/>
      </c>
      <c r="I948">
        <f>HYPERLINK("http://www.hfdgroup.com/")</f>
        <v/>
      </c>
      <c r="J948">
        <f>HYPERLINK("http://www.linkedin.com/company/hfd-group")</f>
        <v/>
      </c>
      <c r="K948">
        <f>HYPERLINK("Not Found")</f>
        <v/>
      </c>
      <c r="L948">
        <f>HYPERLINK("Not Found")</f>
        <v/>
      </c>
      <c r="M948" t="inlineStr">
        <is>
          <t>Motherwell, United Kingdom</t>
        </is>
      </c>
      <c r="N948" t="inlineStr">
        <is>
          <t>55</t>
        </is>
      </c>
      <c r="O948" t="inlineStr">
        <is>
          <t>Commercial Real Estate</t>
        </is>
      </c>
      <c r="P948" t="inlineStr">
        <is>
          <t>commercial property investment,commercial property development</t>
        </is>
      </c>
      <c r="Q948" t="inlineStr">
        <is>
          <t>Not Found</t>
        </is>
      </c>
    </row>
    <row r="949">
      <c r="A949" t="inlineStr">
        <is>
          <t>5e75a21f9a527b00017d4819</t>
        </is>
      </c>
      <c r="B949" t="inlineStr">
        <is>
          <t>David Finnigan</t>
        </is>
      </c>
      <c r="C949">
        <f>HYPERLINK("http://www.linkedin.com/in/david-finnigan-21256b53")</f>
        <v/>
      </c>
      <c r="D949" t="inlineStr">
        <is>
          <t>Not Found</t>
        </is>
      </c>
      <c r="E949" t="inlineStr">
        <is>
          <t>Director of Asset Management</t>
        </is>
      </c>
      <c r="F949">
        <f>HYPERLINK("https://app.apollo.io/#/people/5e75a21f9a527b00017d4819")</f>
        <v/>
      </c>
      <c r="G949" t="inlineStr">
        <is>
          <t>UK Land Estates</t>
        </is>
      </c>
      <c r="H949">
        <f>HYPERLINK("https://app.apollo.io/#/organizations/5569ad9d7369642521937800")</f>
        <v/>
      </c>
      <c r="I949">
        <f>HYPERLINK("http://www.uklandestates.co.uk/")</f>
        <v/>
      </c>
      <c r="J949">
        <f>HYPERLINK("http://www.linkedin.com/company/uk-land-estates")</f>
        <v/>
      </c>
      <c r="K949">
        <f>HYPERLINK("https://twitter.com/uklandestates")</f>
        <v/>
      </c>
      <c r="L949">
        <f>HYPERLINK("Not Found")</f>
        <v/>
      </c>
      <c r="M949" t="inlineStr">
        <is>
          <t>United Kingdom</t>
        </is>
      </c>
      <c r="N949" t="inlineStr">
        <is>
          <t>17</t>
        </is>
      </c>
      <c r="O949" t="inlineStr">
        <is>
          <t>Commercial Real Estate</t>
        </is>
      </c>
      <c r="P949" t="inlineStr">
        <is>
          <t>commerical property,development,investment</t>
        </is>
      </c>
      <c r="Q949" t="inlineStr">
        <is>
          <t>Not Found</t>
        </is>
      </c>
    </row>
    <row r="950">
      <c r="A950" t="inlineStr">
        <is>
          <t>627b59442592520001f12041</t>
        </is>
      </c>
      <c r="B950" t="inlineStr">
        <is>
          <t>Clare Stewart</t>
        </is>
      </c>
      <c r="C950">
        <f>HYPERLINK("http://www.linkedin.com/in/clare-stewart-41208685")</f>
        <v/>
      </c>
      <c r="D950" t="inlineStr">
        <is>
          <t>Not Found</t>
        </is>
      </c>
      <c r="E950" t="inlineStr">
        <is>
          <t>PA to Director</t>
        </is>
      </c>
      <c r="F950">
        <f>HYPERLINK("https://app.apollo.io/#/people/627b59442592520001f12041")</f>
        <v/>
      </c>
      <c r="G950" t="inlineStr">
        <is>
          <t>Derwent London</t>
        </is>
      </c>
      <c r="H950">
        <f>HYPERLINK("https://app.apollo.io/#/organizations/5f4a1ddd9daa4e0001828553")</f>
        <v/>
      </c>
      <c r="I950">
        <f>HYPERLINK("http://www.derwentlondon.com/")</f>
        <v/>
      </c>
      <c r="J950">
        <f>HYPERLINK("http://www.linkedin.com/company/derwentlondon")</f>
        <v/>
      </c>
      <c r="K950">
        <f>HYPERLINK("http://www.twitter.com/derwentlondon")</f>
        <v/>
      </c>
      <c r="L950">
        <f>HYPERLINK("http://www.facebook.com/derwentlondon")</f>
        <v/>
      </c>
      <c r="M950" t="inlineStr">
        <is>
          <t>Birmingham, United Kingdom</t>
        </is>
      </c>
      <c r="N950" t="inlineStr">
        <is>
          <t>210</t>
        </is>
      </c>
      <c r="O950" t="inlineStr">
        <is>
          <t>Commercial Real Estate</t>
        </is>
      </c>
      <c r="P950" t="inlineStr">
        <is>
          <t>commercial real estate</t>
        </is>
      </c>
      <c r="Q950" t="inlineStr">
        <is>
          <t>Not Found</t>
        </is>
      </c>
    </row>
    <row r="951">
      <c r="A951" t="inlineStr">
        <is>
          <t>614d70df915c31000157efd8</t>
        </is>
      </c>
      <c r="B951" t="inlineStr">
        <is>
          <t>Leigh-Anne Sellars</t>
        </is>
      </c>
      <c r="C951">
        <f>HYPERLINK("http://www.linkedin.com/in/leigh-anne-sellars-4b84ab63")</f>
        <v/>
      </c>
      <c r="D951" t="inlineStr">
        <is>
          <t>Not Found</t>
        </is>
      </c>
      <c r="E951" t="inlineStr">
        <is>
          <t>Finance Director - Workplace</t>
        </is>
      </c>
      <c r="F951">
        <f>HYPERLINK("https://app.apollo.io/#/people/614d70df915c31000157efd8")</f>
        <v/>
      </c>
      <c r="G951" t="inlineStr">
        <is>
          <t>Landsec</t>
        </is>
      </c>
      <c r="H951">
        <f>HYPERLINK("https://app.apollo.io/#/accounts/6578b86a75dc3a02ccc995c8")</f>
        <v/>
      </c>
      <c r="I951">
        <f>HYPERLINK("http://www.landsec.com/")</f>
        <v/>
      </c>
      <c r="J951">
        <f>HYPERLINK("http://www.linkedin.com/company/landsec")</f>
        <v/>
      </c>
      <c r="K951">
        <f>HYPERLINK("https://twitter.com/landsecgroup?lang=en")</f>
        <v/>
      </c>
      <c r="L951">
        <f>HYPERLINK("https://facebook.com/pages/category/Real-Estate-Company/Landsec-Group-335042077050643/")</f>
        <v/>
      </c>
      <c r="M951" t="inlineStr">
        <is>
          <t>United Kingdom</t>
        </is>
      </c>
      <c r="N951" t="inlineStr">
        <is>
          <t>860</t>
        </is>
      </c>
      <c r="O951" t="inlineStr">
        <is>
          <t>Commercial Real Estate</t>
        </is>
      </c>
      <c r="P951" t="inlineStr">
        <is>
          <t>property investment,management &amp; development</t>
        </is>
      </c>
      <c r="Q951" t="inlineStr">
        <is>
          <t>Not Found</t>
        </is>
      </c>
    </row>
    <row r="952">
      <c r="A952" t="inlineStr">
        <is>
          <t>64c264f32001640001903128</t>
        </is>
      </c>
      <c r="B952" t="inlineStr">
        <is>
          <t>Sid Wells</t>
        </is>
      </c>
      <c r="C952">
        <f>HYPERLINK("http://www.linkedin.com/in/sid-wells-a764611")</f>
        <v/>
      </c>
      <c r="D952" t="inlineStr">
        <is>
          <t>Not Found</t>
        </is>
      </c>
      <c r="E952" t="inlineStr">
        <is>
          <t>Director of Technical Solutions</t>
        </is>
      </c>
      <c r="F952">
        <f>HYPERLINK("https://app.apollo.io/#/people/64c264f32001640001903128")</f>
        <v/>
      </c>
      <c r="G952" t="inlineStr">
        <is>
          <t>Moodsonic</t>
        </is>
      </c>
      <c r="H952">
        <f>HYPERLINK("https://app.apollo.io/#/organizations/5e574a4d3f150700016bf579")</f>
        <v/>
      </c>
      <c r="I952">
        <f>HYPERLINK("http://www.moodsonic.com/")</f>
        <v/>
      </c>
      <c r="J952">
        <f>HYPERLINK("http://www.linkedin.com/company/moodsonic")</f>
        <v/>
      </c>
      <c r="K952">
        <f>HYPERLINK("https://twitter.com/juliantreasure")</f>
        <v/>
      </c>
      <c r="L952">
        <f>HYPERLINK("Not Found")</f>
        <v/>
      </c>
      <c r="M952" t="inlineStr">
        <is>
          <t>Gloucester, United Kingdom</t>
        </is>
      </c>
      <c r="N952" t="inlineStr">
        <is>
          <t>11</t>
        </is>
      </c>
      <c r="O952" t="inlineStr">
        <is>
          <t>Commercial Real Estate</t>
        </is>
      </c>
      <c r="P952" t="inlineStr">
        <is>
          <t>biophilic soundscapes,workplace design</t>
        </is>
      </c>
      <c r="Q952" t="inlineStr">
        <is>
          <t>Not Found</t>
        </is>
      </c>
    </row>
    <row r="953">
      <c r="A953" t="inlineStr">
        <is>
          <t>60dfcfab0f10630001e51678</t>
        </is>
      </c>
      <c r="B953" t="inlineStr">
        <is>
          <t>Andrew Thomas</t>
        </is>
      </c>
      <c r="C953">
        <f>HYPERLINK("http://www.linkedin.com/in/andrew-thomas-169a4124")</f>
        <v/>
      </c>
      <c r="D953" t="inlineStr">
        <is>
          <t>Not Found</t>
        </is>
      </c>
      <c r="E953" t="inlineStr">
        <is>
          <t>Director, Head of International Capital</t>
        </is>
      </c>
      <c r="F953">
        <f>HYPERLINK("https://app.apollo.io/#/people/60dfcfab0f10630001e51678")</f>
        <v/>
      </c>
      <c r="G953" t="inlineStr">
        <is>
          <t>Colliers</t>
        </is>
      </c>
      <c r="H953">
        <f>HYPERLINK("https://app.apollo.io/#/accounts/6578c2e248f92e02cc97a7cd")</f>
        <v/>
      </c>
      <c r="I953">
        <f>HYPERLINK("http://www.colliers.com/")</f>
        <v/>
      </c>
      <c r="J953">
        <f>HYPERLINK("http://www.linkedin.com/company/colliers")</f>
        <v/>
      </c>
      <c r="K953">
        <f>HYPERLINK("https://twitter.com/collierscanada")</f>
        <v/>
      </c>
      <c r="L953">
        <f>HYPERLINK("Not Found")</f>
        <v/>
      </c>
      <c r="M953" t="inlineStr">
        <is>
          <t>London, United Kingdom</t>
        </is>
      </c>
      <c r="N953" t="inlineStr">
        <is>
          <t>25,000</t>
        </is>
      </c>
      <c r="O953" t="inlineStr">
        <is>
          <t>Commercial Real Estate</t>
        </is>
      </c>
      <c r="P953" t="inlineStr">
        <is>
          <t>brokerage &amp; agency,corporate solutions</t>
        </is>
      </c>
      <c r="Q953" t="inlineStr">
        <is>
          <t>Not Found</t>
        </is>
      </c>
    </row>
    <row r="954">
      <c r="A954" t="inlineStr">
        <is>
          <t>57dbc04ea6da986893a24614</t>
        </is>
      </c>
      <c r="B954" t="inlineStr">
        <is>
          <t>Doug Wilson</t>
        </is>
      </c>
      <c r="C954">
        <f>HYPERLINK("http://www.linkedin.com/in/doug-wilson-mciob-81465316")</f>
        <v/>
      </c>
      <c r="D954" t="inlineStr">
        <is>
          <t>Not Found</t>
        </is>
      </c>
      <c r="E954" t="inlineStr">
        <is>
          <t>Director/Commercial Manager</t>
        </is>
      </c>
      <c r="F954">
        <f>HYPERLINK("https://app.apollo.io/#/people/57dbc04ea6da986893a24614")</f>
        <v/>
      </c>
      <c r="G954" t="inlineStr">
        <is>
          <t>DSW Commercial Real Estate</t>
        </is>
      </c>
      <c r="H954">
        <f>HYPERLINK("https://app.apollo.io/#/organizations/614edb72cf5dbe000140396d")</f>
        <v/>
      </c>
      <c r="I954">
        <f>HYPERLINK("http://www.dswcommercial.com/")</f>
        <v/>
      </c>
      <c r="J954">
        <f>HYPERLINK("http://www.linkedin.com/company/dsw-commercial")</f>
        <v/>
      </c>
      <c r="K954">
        <f>HYPERLINK("Not Found")</f>
        <v/>
      </c>
      <c r="L954">
        <f>HYPERLINK("Not Found")</f>
        <v/>
      </c>
      <c r="M954" t="inlineStr">
        <is>
          <t>Stevenage, United Kingdom</t>
        </is>
      </c>
      <c r="N954" t="inlineStr">
        <is>
          <t>2</t>
        </is>
      </c>
      <c r="O954" t="inlineStr">
        <is>
          <t>Commercial Real Estate</t>
        </is>
      </c>
      <c r="P954" t="inlineStr">
        <is>
          <t>commercial real estate,asset management</t>
        </is>
      </c>
      <c r="Q954" t="inlineStr">
        <is>
          <t>Not Found</t>
        </is>
      </c>
    </row>
    <row r="955">
      <c r="A955" t="inlineStr">
        <is>
          <t>62541c329ce4ce0001a89991</t>
        </is>
      </c>
      <c r="B955" t="inlineStr">
        <is>
          <t>Spencer Laurence</t>
        </is>
      </c>
      <c r="C955">
        <f>HYPERLINK("http://www.linkedin.com/in/londonlettings")</f>
        <v/>
      </c>
      <c r="D955" t="inlineStr">
        <is>
          <t>Not Found</t>
        </is>
      </c>
      <c r="E955" t="inlineStr">
        <is>
          <t>Lettings Director</t>
        </is>
      </c>
      <c r="F955">
        <f>HYPERLINK("https://app.apollo.io/#/people/62541c329ce4ce0001a89991")</f>
        <v/>
      </c>
      <c r="G955" t="inlineStr">
        <is>
          <t>Paramount Properties</t>
        </is>
      </c>
      <c r="H955">
        <f>HYPERLINK("https://app.apollo.io/#/accounts/6578b8d685cede01ae5c47ae")</f>
        <v/>
      </c>
      <c r="I955">
        <f>HYPERLINK("http://www.paramount-properties.co.uk/")</f>
        <v/>
      </c>
      <c r="J955">
        <f>HYPERLINK("http://www.linkedin.com/company/paramount-group-of-companies")</f>
        <v/>
      </c>
      <c r="K955">
        <f>HYPERLINK("https://twitter.com/paramountldn")</f>
        <v/>
      </c>
      <c r="L955">
        <f>HYPERLINK("https://www.facebook.com/paramountpropertieslondon")</f>
        <v/>
      </c>
      <c r="M955" t="inlineStr">
        <is>
          <t>London, United Kingdom</t>
        </is>
      </c>
      <c r="N955" t="inlineStr">
        <is>
          <t>69</t>
        </is>
      </c>
      <c r="O955" t="inlineStr">
        <is>
          <t>Commercial Real Estate</t>
        </is>
      </c>
      <c r="P955" t="inlineStr">
        <is>
          <t>residential lettings,investment properties</t>
        </is>
      </c>
      <c r="Q955" t="inlineStr">
        <is>
          <t>Not Found</t>
        </is>
      </c>
    </row>
    <row r="956">
      <c r="A956" t="inlineStr">
        <is>
          <t>625dc63bce6f6d0001cd456c</t>
        </is>
      </c>
      <c r="B956" t="inlineStr">
        <is>
          <t>Lynda Simmons</t>
        </is>
      </c>
      <c r="C956">
        <f>HYPERLINK("http://www.linkedin.com/in/lynda-simmons-25968427")</f>
        <v/>
      </c>
      <c r="D956" t="inlineStr">
        <is>
          <t>Not Found</t>
        </is>
      </c>
      <c r="E956" t="inlineStr">
        <is>
          <t>Director, Global Energy &amp; Sustainability</t>
        </is>
      </c>
      <c r="F956">
        <f>HYPERLINK("https://app.apollo.io/#/people/625dc63bce6f6d0001cd456c")</f>
        <v/>
      </c>
      <c r="G956" t="inlineStr">
        <is>
          <t>CBRE Global Workplace Solutions (GWS)</t>
        </is>
      </c>
      <c r="H956">
        <f>HYPERLINK("https://app.apollo.io/#/accounts/6509fed6f449800001b69a15")</f>
        <v/>
      </c>
      <c r="I956">
        <f>HYPERLINK("http://www.coor.com/")</f>
        <v/>
      </c>
      <c r="J956">
        <f>HYPERLINK("http://www.linkedin.com/company/cbre-gws")</f>
        <v/>
      </c>
      <c r="K956">
        <f>HYPERLINK("Not Found")</f>
        <v/>
      </c>
      <c r="L956">
        <f>HYPERLINK("Not Found")</f>
        <v/>
      </c>
      <c r="M956" t="inlineStr">
        <is>
          <t>Guildford, United Kingdom</t>
        </is>
      </c>
      <c r="N956" t="inlineStr">
        <is>
          <t>15,000</t>
        </is>
      </c>
      <c r="O956" t="inlineStr">
        <is>
          <t>Commercial Real Estate</t>
        </is>
      </c>
      <c r="P956" t="inlineStr">
        <is>
          <t>project management,advisory,transaction services</t>
        </is>
      </c>
      <c r="Q956" t="inlineStr">
        <is>
          <t>Not Found</t>
        </is>
      </c>
    </row>
    <row r="957">
      <c r="A957" t="inlineStr">
        <is>
          <t>5c42c6b480f93e507911721c</t>
        </is>
      </c>
      <c r="B957" t="inlineStr">
        <is>
          <t>Richard Smith</t>
        </is>
      </c>
      <c r="C957">
        <f>HYPERLINK("http://www.linkedin.com/in/richard-smith-613a8470")</f>
        <v/>
      </c>
      <c r="D957" t="inlineStr">
        <is>
          <t>Not Found</t>
        </is>
      </c>
      <c r="E957" t="inlineStr">
        <is>
          <t>Pre-Construction Director</t>
        </is>
      </c>
      <c r="F957">
        <f>HYPERLINK("https://app.apollo.io/#/people/5c42c6b480f93e507911721c")</f>
        <v/>
      </c>
      <c r="G957" t="inlineStr">
        <is>
          <t>HFD Group</t>
        </is>
      </c>
      <c r="H957">
        <f>HYPERLINK("https://app.apollo.io/#/accounts/6578be5cccf69c02cc54ee0c")</f>
        <v/>
      </c>
      <c r="I957">
        <f>HYPERLINK("http://www.hfdgroup.com/")</f>
        <v/>
      </c>
      <c r="J957">
        <f>HYPERLINK("http://www.linkedin.com/company/hfd-group")</f>
        <v/>
      </c>
      <c r="K957">
        <f>HYPERLINK("Not Found")</f>
        <v/>
      </c>
      <c r="L957">
        <f>HYPERLINK("Not Found")</f>
        <v/>
      </c>
      <c r="M957" t="inlineStr">
        <is>
          <t>Bellshill, United Kingdom</t>
        </is>
      </c>
      <c r="N957" t="inlineStr">
        <is>
          <t>55</t>
        </is>
      </c>
      <c r="O957" t="inlineStr">
        <is>
          <t>Commercial Real Estate</t>
        </is>
      </c>
      <c r="P957" t="inlineStr">
        <is>
          <t>commercial property investment,commercial property development</t>
        </is>
      </c>
      <c r="Q957" t="inlineStr">
        <is>
          <t>Not Found</t>
        </is>
      </c>
    </row>
    <row r="958">
      <c r="A958" t="inlineStr">
        <is>
          <t>60df1d4699007a0001ad22d8</t>
        </is>
      </c>
      <c r="B958" t="inlineStr">
        <is>
          <t>Sheen Skaria</t>
        </is>
      </c>
      <c r="C958">
        <f>HYPERLINK("http://www.linkedin.com/in/sheenlibra")</f>
        <v/>
      </c>
      <c r="D958" t="inlineStr">
        <is>
          <t>Not Found</t>
        </is>
      </c>
      <c r="E958" t="inlineStr">
        <is>
          <t>Head - Corporate Administration &amp; Founder and CEO’s Office</t>
        </is>
      </c>
      <c r="F958">
        <f>HYPERLINK("https://app.apollo.io/#/people/60df1d4699007a0001ad22d8")</f>
        <v/>
      </c>
      <c r="G958" t="inlineStr">
        <is>
          <t>Awfis Space Solutions Private Limited</t>
        </is>
      </c>
      <c r="H958">
        <f>HYPERLINK("https://app.apollo.io/#/organizations/56d8f6b1f3e5bb57fb002827")</f>
        <v/>
      </c>
      <c r="I958">
        <f>HYPERLINK("http://www.awfis.com/")</f>
        <v/>
      </c>
      <c r="J958">
        <f>HYPERLINK("http://www.linkedin.com/company/awfis")</f>
        <v/>
      </c>
      <c r="K958">
        <f>HYPERLINK("https://twitter.com/myawfis")</f>
        <v/>
      </c>
      <c r="L958">
        <f>HYPERLINK("https://facebook.com/myawfis/")</f>
        <v/>
      </c>
      <c r="M958" t="inlineStr">
        <is>
          <t>United Kingdom</t>
        </is>
      </c>
      <c r="N958" t="inlineStr">
        <is>
          <t>540</t>
        </is>
      </c>
      <c r="O958" t="inlineStr">
        <is>
          <t>Commercial Real Estate</t>
        </is>
      </c>
      <c r="P958" t="inlineStr">
        <is>
          <t>coworking spaces,community,office spaces</t>
        </is>
      </c>
      <c r="Q958" t="inlineStr">
        <is>
          <t>Not Found</t>
        </is>
      </c>
    </row>
    <row r="959">
      <c r="A959" t="inlineStr">
        <is>
          <t>5ace2616a6da98d14201d0c7</t>
        </is>
      </c>
      <c r="B959" t="inlineStr">
        <is>
          <t>Annette Fairburn</t>
        </is>
      </c>
      <c r="C959">
        <f>HYPERLINK("http://www.linkedin.com/in/annette-fairburn-b9929429")</f>
        <v/>
      </c>
      <c r="D959" t="inlineStr">
        <is>
          <t>Not Found</t>
        </is>
      </c>
      <c r="E959" t="inlineStr">
        <is>
          <t>associate director</t>
        </is>
      </c>
      <c r="F959">
        <f>HYPERLINK("https://app.apollo.io/#/people/5ace2616a6da98d14201d0c7")</f>
        <v/>
      </c>
      <c r="G959" t="inlineStr">
        <is>
          <t>Colliers</t>
        </is>
      </c>
      <c r="H959">
        <f>HYPERLINK("https://app.apollo.io/#/accounts/64aaf6c63d556a0001e8eda6")</f>
        <v/>
      </c>
      <c r="I959">
        <f>HYPERLINK("http://www.colliers.com/")</f>
        <v/>
      </c>
      <c r="J959">
        <f>HYPERLINK("http://www.linkedin.com/company/colliers")</f>
        <v/>
      </c>
      <c r="K959">
        <f>HYPERLINK("https://twitter.com/Colliers")</f>
        <v/>
      </c>
      <c r="L959">
        <f>HYPERLINK("https://facebook.com/colliersinternational/")</f>
        <v/>
      </c>
      <c r="M959" t="inlineStr">
        <is>
          <t>United Kingdom</t>
        </is>
      </c>
      <c r="N959" t="inlineStr">
        <is>
          <t>25,000</t>
        </is>
      </c>
      <c r="O959" t="inlineStr">
        <is>
          <t>Commercial Real Estate</t>
        </is>
      </c>
      <c r="P959" t="inlineStr">
        <is>
          <t>brokerage &amp; agency,corporate solutions</t>
        </is>
      </c>
      <c r="Q959" t="inlineStr">
        <is>
          <t>Not Found</t>
        </is>
      </c>
    </row>
    <row r="960">
      <c r="A960" t="inlineStr">
        <is>
          <t>61163b196973b200013e6a26</t>
        </is>
      </c>
      <c r="B960" t="inlineStr">
        <is>
          <t>Alex Conkleton</t>
        </is>
      </c>
      <c r="C960">
        <f>HYPERLINK("http://www.linkedin.com/in/alex-conkleton-7096678")</f>
        <v/>
      </c>
      <c r="D960" t="inlineStr">
        <is>
          <t>Not Found</t>
        </is>
      </c>
      <c r="E960" t="inlineStr">
        <is>
          <t>EMEA Workplace Experience Director</t>
        </is>
      </c>
      <c r="F960">
        <f>HYPERLINK("https://app.apollo.io/#/people/61163b196973b200013e6a26")</f>
        <v/>
      </c>
      <c r="G960" t="inlineStr">
        <is>
          <t>CBRE Global Workplace Solutions (GWS)</t>
        </is>
      </c>
      <c r="H960">
        <f>HYPERLINK("https://app.apollo.io/#/accounts/6509fed6f449800001b69a15")</f>
        <v/>
      </c>
      <c r="I960">
        <f>HYPERLINK("http://www.coor.com/")</f>
        <v/>
      </c>
      <c r="J960">
        <f>HYPERLINK("http://www.linkedin.com/company/cbre-gws")</f>
        <v/>
      </c>
      <c r="K960">
        <f>HYPERLINK("Not Found")</f>
        <v/>
      </c>
      <c r="L960">
        <f>HYPERLINK("Not Found")</f>
        <v/>
      </c>
      <c r="M960" t="inlineStr">
        <is>
          <t>United Kingdom</t>
        </is>
      </c>
      <c r="N960" t="inlineStr">
        <is>
          <t>15,000</t>
        </is>
      </c>
      <c r="O960" t="inlineStr">
        <is>
          <t>Commercial Real Estate</t>
        </is>
      </c>
      <c r="P960" t="inlineStr">
        <is>
          <t>project management,advisory,transaction services</t>
        </is>
      </c>
      <c r="Q960" t="inlineStr">
        <is>
          <t>Not Found</t>
        </is>
      </c>
    </row>
    <row r="961">
      <c r="A961" t="inlineStr">
        <is>
          <t>57de4ec9a6da987b3509ad44</t>
        </is>
      </c>
      <c r="B961" t="inlineStr">
        <is>
          <t>Michael Spriggs</t>
        </is>
      </c>
      <c r="C961">
        <f>HYPERLINK("http://www.linkedin.com/in/michael-spriggs-58a35319")</f>
        <v/>
      </c>
      <c r="D961" t="inlineStr">
        <is>
          <t>Not Found</t>
        </is>
      </c>
      <c r="E961" t="inlineStr">
        <is>
          <t>Managing Director</t>
        </is>
      </c>
      <c r="F961">
        <f>HYPERLINK("https://app.apollo.io/#/people/57de4ec9a6da987b3509ad44")</f>
        <v/>
      </c>
      <c r="G961" t="inlineStr">
        <is>
          <t>UK Land Estates</t>
        </is>
      </c>
      <c r="H961">
        <f>HYPERLINK("https://app.apollo.io/#/organizations/5569ad9d7369642521937800")</f>
        <v/>
      </c>
      <c r="I961">
        <f>HYPERLINK("http://www.uklandestates.co.uk/")</f>
        <v/>
      </c>
      <c r="J961">
        <f>HYPERLINK("http://www.linkedin.com/company/uk-land-estates")</f>
        <v/>
      </c>
      <c r="K961">
        <f>HYPERLINK("https://twitter.com/uklandestates")</f>
        <v/>
      </c>
      <c r="L961">
        <f>HYPERLINK("Not Found")</f>
        <v/>
      </c>
      <c r="M961" t="inlineStr">
        <is>
          <t>Newcastle upon Tyne, United Kingdom</t>
        </is>
      </c>
      <c r="N961" t="inlineStr">
        <is>
          <t>17</t>
        </is>
      </c>
      <c r="O961" t="inlineStr">
        <is>
          <t>Commercial Real Estate</t>
        </is>
      </c>
      <c r="P961" t="inlineStr">
        <is>
          <t>commerical property,development,investment</t>
        </is>
      </c>
      <c r="Q961" t="inlineStr">
        <is>
          <t>Not Found</t>
        </is>
      </c>
    </row>
    <row r="962">
      <c r="A962" t="inlineStr">
        <is>
          <t>54a6eafa746869705ac33704</t>
        </is>
      </c>
      <c r="B962" t="inlineStr">
        <is>
          <t>Julia Peace</t>
        </is>
      </c>
      <c r="C962">
        <f>HYPERLINK("http://www.linkedin.com/in/julia-peace-40834a67")</f>
        <v/>
      </c>
      <c r="D962" t="inlineStr">
        <is>
          <t>Not Found</t>
        </is>
      </c>
      <c r="E962" t="inlineStr">
        <is>
          <t>Director at Peace</t>
        </is>
      </c>
      <c r="F962">
        <f>HYPERLINK("https://app.apollo.io/#/people/54a6eafa746869705ac33704")</f>
        <v/>
      </c>
      <c r="G962" t="inlineStr">
        <is>
          <t>Peace of Mind Properties</t>
        </is>
      </c>
      <c r="H962">
        <f>HYPERLINK("https://app.apollo.io/#/organizations/614c19c1c1495500013d2a8b")</f>
        <v/>
      </c>
      <c r="I962">
        <f>HYPERLINK("http://www.peaceofmindproperties.co.uk/")</f>
        <v/>
      </c>
      <c r="J962">
        <f>HYPERLINK("http://www.linkedin.com/company/peace-of-mind-properties")</f>
        <v/>
      </c>
      <c r="K962">
        <f>HYPERLINK("Not Found")</f>
        <v/>
      </c>
      <c r="L962">
        <f>HYPERLINK("https://www.facebook.com/PeaceOfMindProperties.co.uk/")</f>
        <v/>
      </c>
      <c r="M962" t="inlineStr">
        <is>
          <t>England, United Kingdom</t>
        </is>
      </c>
      <c r="N962" t="inlineStr">
        <is>
          <t>4</t>
        </is>
      </c>
      <c r="O962" t="inlineStr">
        <is>
          <t>Commercial Real Estate</t>
        </is>
      </c>
      <c r="P962" t="inlineStr">
        <is>
          <t>hmo conversions,hmo property management</t>
        </is>
      </c>
      <c r="Q962" t="inlineStr">
        <is>
          <t>Not Found</t>
        </is>
      </c>
    </row>
    <row r="963">
      <c r="A963" t="inlineStr">
        <is>
          <t>64a810341745b60001b49e07</t>
        </is>
      </c>
      <c r="B963" t="inlineStr">
        <is>
          <t>Derek Mason</t>
        </is>
      </c>
      <c r="C963">
        <f>HYPERLINK("http://www.linkedin.com/in/derek-mason-8979951a4")</f>
        <v/>
      </c>
      <c r="D963" t="inlineStr">
        <is>
          <t>Not Found</t>
        </is>
      </c>
      <c r="E963" t="inlineStr">
        <is>
          <t>Managing Director</t>
        </is>
      </c>
      <c r="F963">
        <f>HYPERLINK("https://app.apollo.io/#/people/64a810341745b60001b49e07")</f>
        <v/>
      </c>
      <c r="G963" t="inlineStr">
        <is>
          <t>MDT PROPERTY CONSULTANTS LTD</t>
        </is>
      </c>
      <c r="H963">
        <f>HYPERLINK("https://app.apollo.io/#/organizations/55ec94e9f3e5bb131a002263")</f>
        <v/>
      </c>
      <c r="I963">
        <f>HYPERLINK("http://www.mdtpropertyconsultants.co.uk/")</f>
        <v/>
      </c>
      <c r="J963">
        <f>HYPERLINK("http://www.linkedin.com/company/mdt-property-consultants-ltd")</f>
        <v/>
      </c>
      <c r="K963">
        <f>HYPERLINK("Not Found")</f>
        <v/>
      </c>
      <c r="L963">
        <f>HYPERLINK("Not Found")</f>
        <v/>
      </c>
      <c r="M963" t="inlineStr">
        <is>
          <t>England, United Kingdom</t>
        </is>
      </c>
      <c r="N963" t="inlineStr">
        <is>
          <t>2</t>
        </is>
      </c>
      <c r="O963" t="inlineStr">
        <is>
          <t>Commercial Real Estate</t>
        </is>
      </c>
      <c r="Q963" t="inlineStr">
        <is>
          <t>Not Found</t>
        </is>
      </c>
    </row>
    <row r="964">
      <c r="A964" t="inlineStr">
        <is>
          <t>5f73293b5290630001836b69</t>
        </is>
      </c>
      <c r="B964" t="inlineStr">
        <is>
          <t>Guy Dabell</t>
        </is>
      </c>
      <c r="C964">
        <f>HYPERLINK("http://www.linkedin.com/in/guy-dabell-756a605")</f>
        <v/>
      </c>
      <c r="D964" t="inlineStr">
        <is>
          <t>Not Found</t>
        </is>
      </c>
      <c r="E964" t="inlineStr">
        <is>
          <t>Global Reliability and Technical Director</t>
        </is>
      </c>
      <c r="F964">
        <f>HYPERLINK("https://app.apollo.io/#/people/5f73293b5290630001836b69")</f>
        <v/>
      </c>
      <c r="G964" t="inlineStr">
        <is>
          <t>CBRE Global Workplace Solutions (GWS)</t>
        </is>
      </c>
      <c r="H964">
        <f>HYPERLINK("https://app.apollo.io/#/accounts/6509fed6f449800001b69a15")</f>
        <v/>
      </c>
      <c r="I964">
        <f>HYPERLINK("http://www.coor.com/")</f>
        <v/>
      </c>
      <c r="J964">
        <f>HYPERLINK("http://www.linkedin.com/company/cbre-gws")</f>
        <v/>
      </c>
      <c r="K964">
        <f>HYPERLINK("Not Found")</f>
        <v/>
      </c>
      <c r="L964">
        <f>HYPERLINK("Not Found")</f>
        <v/>
      </c>
      <c r="M964" t="inlineStr">
        <is>
          <t>Neston, United Kingdom</t>
        </is>
      </c>
      <c r="N964" t="inlineStr">
        <is>
          <t>15,000</t>
        </is>
      </c>
      <c r="O964" t="inlineStr">
        <is>
          <t>Commercial Real Estate</t>
        </is>
      </c>
      <c r="P964" t="inlineStr">
        <is>
          <t>project management,advisory,transaction services</t>
        </is>
      </c>
      <c r="Q964" t="inlineStr">
        <is>
          <t>Not Found</t>
        </is>
      </c>
    </row>
    <row r="965">
      <c r="A965" t="inlineStr">
        <is>
          <t>54a2eba574686930c2ce2447</t>
        </is>
      </c>
      <c r="B965" t="inlineStr">
        <is>
          <t>Jodie Yates</t>
        </is>
      </c>
      <c r="C965">
        <f>HYPERLINK("http://www.linkedin.com/in/jodieyates")</f>
        <v/>
      </c>
      <c r="D965" t="inlineStr">
        <is>
          <t>Not Found</t>
        </is>
      </c>
      <c r="E965" t="inlineStr">
        <is>
          <t>Global Strategic Development Director</t>
        </is>
      </c>
      <c r="F965">
        <f>HYPERLINK("https://app.apollo.io/#/people/54a2eba574686930c2ce2447")</f>
        <v/>
      </c>
      <c r="G965" t="inlineStr">
        <is>
          <t>CBRE Global Workplace Solutions (GWS)</t>
        </is>
      </c>
      <c r="H965">
        <f>HYPERLINK("https://app.apollo.io/#/accounts/6509fed6f449800001b69a15")</f>
        <v/>
      </c>
      <c r="I965">
        <f>HYPERLINK("http://www.coor.com/")</f>
        <v/>
      </c>
      <c r="J965">
        <f>HYPERLINK("http://www.linkedin.com/company/cbre-gws")</f>
        <v/>
      </c>
      <c r="K965">
        <f>HYPERLINK("Not Found")</f>
        <v/>
      </c>
      <c r="L965">
        <f>HYPERLINK("Not Found")</f>
        <v/>
      </c>
      <c r="M965" t="inlineStr">
        <is>
          <t>London, United Kingdom</t>
        </is>
      </c>
      <c r="N965" t="inlineStr">
        <is>
          <t>15,000</t>
        </is>
      </c>
      <c r="O965" t="inlineStr">
        <is>
          <t>Commercial Real Estate</t>
        </is>
      </c>
      <c r="P965" t="inlineStr">
        <is>
          <t>project management,advisory,transaction services</t>
        </is>
      </c>
      <c r="Q965" t="inlineStr">
        <is>
          <t>Not Found</t>
        </is>
      </c>
    </row>
    <row r="966">
      <c r="A966" t="inlineStr">
        <is>
          <t>612a5aa1c1e3e3000158c723</t>
        </is>
      </c>
      <c r="B966" t="inlineStr">
        <is>
          <t>Neil Thompson</t>
        </is>
      </c>
      <c r="C966">
        <f>HYPERLINK("http://www.linkedin.com/in/neil-thompson-37720a1aa")</f>
        <v/>
      </c>
      <c r="D966" t="inlineStr">
        <is>
          <t>Not Found</t>
        </is>
      </c>
      <c r="E966" t="inlineStr">
        <is>
          <t>Associate Director</t>
        </is>
      </c>
      <c r="F966">
        <f>HYPERLINK("https://app.apollo.io/#/people/612a5aa1c1e3e3000158c723")</f>
        <v/>
      </c>
      <c r="G966" t="inlineStr">
        <is>
          <t>Cushman &amp; Wakefield - Formerly DTZ</t>
        </is>
      </c>
      <c r="H966">
        <f>HYPERLINK("https://app.apollo.io/#/accounts/6578bef1ccf69c01ae54f888")</f>
        <v/>
      </c>
      <c r="I966">
        <f>HYPERLINK("http://www.cushwake-ni.com/")</f>
        <v/>
      </c>
      <c r="J966">
        <f>HYPERLINK("http://www.linkedin.com/company/dtz")</f>
        <v/>
      </c>
      <c r="K966">
        <f>HYPERLINK("Not Found")</f>
        <v/>
      </c>
      <c r="L966">
        <f>HYPERLINK("Not Found")</f>
        <v/>
      </c>
      <c r="M966" t="inlineStr">
        <is>
          <t>Bromley, United Kingdom</t>
        </is>
      </c>
      <c r="N966" t="inlineStr">
        <is>
          <t>3,800</t>
        </is>
      </c>
      <c r="O966" t="inlineStr">
        <is>
          <t>Commercial Real Estate</t>
        </is>
      </c>
      <c r="P966" t="inlineStr">
        <is>
          <t>agency leasing,capital markets,consulting</t>
        </is>
      </c>
      <c r="Q966" t="inlineStr">
        <is>
          <t>Not Found</t>
        </is>
      </c>
    </row>
    <row r="967">
      <c r="A967" t="inlineStr">
        <is>
          <t>608636517c569e0001177dac</t>
        </is>
      </c>
      <c r="B967" t="inlineStr">
        <is>
          <t>Kelly Poudrette</t>
        </is>
      </c>
      <c r="C967">
        <f>HYPERLINK("http://www.linkedin.com/in/kelly-poudrette")</f>
        <v/>
      </c>
      <c r="D967" t="inlineStr">
        <is>
          <t>Not Found</t>
        </is>
      </c>
      <c r="E967" t="inlineStr">
        <is>
          <t>Vice President, Chief Accounting Officer</t>
        </is>
      </c>
      <c r="F967">
        <f>HYPERLINK("https://app.apollo.io/#/people/608636517c569e0001177dac")</f>
        <v/>
      </c>
      <c r="G967" t="inlineStr">
        <is>
          <t>INDUS Realty Trust, Inc.</t>
        </is>
      </c>
      <c r="H967">
        <f>HYPERLINK("https://app.apollo.io/#/accounts/6578c0871823b203f32f0d1c")</f>
        <v/>
      </c>
      <c r="I967">
        <f>HYPERLINK("http://www.indusrt.com/")</f>
        <v/>
      </c>
      <c r="J967">
        <f>HYPERLINK("http://www.linkedin.com/company/indus-realty-trust-inc")</f>
        <v/>
      </c>
      <c r="K967">
        <f>HYPERLINK("https://twitter.com/indusrt")</f>
        <v/>
      </c>
      <c r="L967">
        <f>HYPERLINK("Not Found")</f>
        <v/>
      </c>
      <c r="M967" t="inlineStr">
        <is>
          <t>London, United Kingdom</t>
        </is>
      </c>
      <c r="N967" t="inlineStr">
        <is>
          <t>50</t>
        </is>
      </c>
      <c r="O967" t="inlineStr">
        <is>
          <t>Commercial Real Estate</t>
        </is>
      </c>
      <c r="P967" t="inlineStr">
        <is>
          <t>industrial real estate developer,industrial</t>
        </is>
      </c>
      <c r="Q967" t="inlineStr">
        <is>
          <t>Not Found</t>
        </is>
      </c>
    </row>
    <row r="968">
      <c r="A968" t="inlineStr">
        <is>
          <t>5f99899c299c950001fc8780</t>
        </is>
      </c>
      <c r="B968" t="inlineStr">
        <is>
          <t>Sophie Weinmann</t>
        </is>
      </c>
      <c r="C968">
        <f>HYPERLINK("http://www.linkedin.com/in/sophieweinmann")</f>
        <v/>
      </c>
      <c r="D968" t="inlineStr">
        <is>
          <t>Not Found</t>
        </is>
      </c>
      <c r="E968" t="inlineStr">
        <is>
          <t>Senior Director - Head of Surveying</t>
        </is>
      </c>
      <c r="F968">
        <f>HYPERLINK("https://app.apollo.io/#/people/5f99899c299c950001fc8780")</f>
        <v/>
      </c>
      <c r="G968" t="inlineStr">
        <is>
          <t>Ashdown Phillips</t>
        </is>
      </c>
      <c r="H968">
        <f>HYPERLINK("https://app.apollo.io/#/organizations/55f7c16bf3e5bb1ca0000d1d")</f>
        <v/>
      </c>
      <c r="I968">
        <f>HYPERLINK("http://www.ashdownphillips.com/")</f>
        <v/>
      </c>
      <c r="J968">
        <f>HYPERLINK("http://www.linkedin.com/company/ashdown-phillips-&amp;-partners-limited")</f>
        <v/>
      </c>
      <c r="K968">
        <f>HYPERLINK("https://twitter.com/AshdownPhillips")</f>
        <v/>
      </c>
      <c r="L968">
        <f>HYPERLINK("Not Found")</f>
        <v/>
      </c>
      <c r="M968" t="inlineStr">
        <is>
          <t>Manchester, United Kingdom</t>
        </is>
      </c>
      <c r="N968" t="inlineStr">
        <is>
          <t>130</t>
        </is>
      </c>
      <c r="O968" t="inlineStr">
        <is>
          <t>Commercial Real Estate</t>
        </is>
      </c>
      <c r="P968" t="inlineStr">
        <is>
          <t>commercial real estate,property management</t>
        </is>
      </c>
      <c r="Q968" t="inlineStr">
        <is>
          <t>Not Found</t>
        </is>
      </c>
    </row>
    <row r="969">
      <c r="A969" t="inlineStr">
        <is>
          <t>64dcef8c3cf8b20001a00a7f</t>
        </is>
      </c>
      <c r="B969" t="inlineStr">
        <is>
          <t>Derren Chamberlain</t>
        </is>
      </c>
      <c r="C969">
        <f>HYPERLINK("http://www.linkedin.com/in/derren-chamberlain-69493a20")</f>
        <v/>
      </c>
      <c r="D969" t="inlineStr">
        <is>
          <t>Not Found</t>
        </is>
      </c>
      <c r="E969" t="inlineStr">
        <is>
          <t>Global Vice President Procurement - Enterprise Accounts</t>
        </is>
      </c>
      <c r="F969">
        <f>HYPERLINK("https://app.apollo.io/#/people/64dcef8c3cf8b20001a00a7f")</f>
        <v/>
      </c>
      <c r="G969" t="inlineStr">
        <is>
          <t>CBRE Global Workplace Solutions (GWS)</t>
        </is>
      </c>
      <c r="H969">
        <f>HYPERLINK("https://app.apollo.io/#/accounts/6509fed6f449800001b69a15")</f>
        <v/>
      </c>
      <c r="I969">
        <f>HYPERLINK("http://www.coor.com/")</f>
        <v/>
      </c>
      <c r="J969">
        <f>HYPERLINK("http://www.linkedin.com/company/cbre-gws")</f>
        <v/>
      </c>
      <c r="K969">
        <f>HYPERLINK("Not Found")</f>
        <v/>
      </c>
      <c r="L969">
        <f>HYPERLINK("Not Found")</f>
        <v/>
      </c>
      <c r="M969" t="inlineStr">
        <is>
          <t>Portsmouth, United Kingdom</t>
        </is>
      </c>
      <c r="N969" t="inlineStr">
        <is>
          <t>15,000</t>
        </is>
      </c>
      <c r="O969" t="inlineStr">
        <is>
          <t>Commercial Real Estate</t>
        </is>
      </c>
      <c r="P969" t="inlineStr">
        <is>
          <t>project management,advisory,transaction services</t>
        </is>
      </c>
      <c r="Q969" t="inlineStr">
        <is>
          <t>Not Found</t>
        </is>
      </c>
    </row>
    <row r="970">
      <c r="A970" t="inlineStr">
        <is>
          <t>652bec9e432cec00016376ee</t>
        </is>
      </c>
      <c r="B970" t="inlineStr">
        <is>
          <t>Sanji C.</t>
        </is>
      </c>
      <c r="C970">
        <f>HYPERLINK("http://www.linkedin.com/in/sanji-chandramohan-76a2788a")</f>
        <v/>
      </c>
      <c r="D970" t="inlineStr">
        <is>
          <t>Not Found</t>
        </is>
      </c>
      <c r="E970" t="inlineStr">
        <is>
          <t>Vice President - Private Equity Real Estate</t>
        </is>
      </c>
      <c r="F970">
        <f>HYPERLINK("https://app.apollo.io/#/people/652bec9e432cec00016376ee")</f>
        <v/>
      </c>
      <c r="G970" t="inlineStr">
        <is>
          <t>Thor Equities Group</t>
        </is>
      </c>
      <c r="H970">
        <f>HYPERLINK("https://app.apollo.io/#/organizations/54a11d6769702d8aa166f500")</f>
        <v/>
      </c>
      <c r="I970">
        <f>HYPERLINK("http://www.thorequities.com/")</f>
        <v/>
      </c>
      <c r="J970">
        <f>HYPERLINK("http://www.linkedin.com/company/thor-equities")</f>
        <v/>
      </c>
      <c r="K970">
        <f>HYPERLINK("http://twitter.com/ThorEquities")</f>
        <v/>
      </c>
      <c r="L970">
        <f>HYPERLINK("http://www.facebook.com/ThorEquities")</f>
        <v/>
      </c>
      <c r="M970" t="inlineStr">
        <is>
          <t>London, United Kingdom</t>
        </is>
      </c>
      <c r="N970" t="inlineStr">
        <is>
          <t>150</t>
        </is>
      </c>
      <c r="O970" t="inlineStr">
        <is>
          <t>Commercial Real Estate</t>
        </is>
      </c>
      <c r="P970" t="inlineStr">
        <is>
          <t>commercial real estate &amp; real estate development</t>
        </is>
      </c>
      <c r="Q970" t="inlineStr">
        <is>
          <t>Not Found</t>
        </is>
      </c>
    </row>
    <row r="971">
      <c r="A971" t="inlineStr">
        <is>
          <t>57d496a8a6da985386beba94</t>
        </is>
      </c>
      <c r="B971" t="inlineStr">
        <is>
          <t>Terry Nuttall</t>
        </is>
      </c>
      <c r="C971">
        <f>HYPERLINK("http://www.linkedin.com/in/terry-nuttall-78329b58")</f>
        <v/>
      </c>
      <c r="D971" t="inlineStr">
        <is>
          <t>Not Found</t>
        </is>
      </c>
      <c r="E971" t="inlineStr">
        <is>
          <t>Engineering Services Director</t>
        </is>
      </c>
      <c r="F971">
        <f>HYPERLINK("https://app.apollo.io/#/people/57d496a8a6da985386beba94")</f>
        <v/>
      </c>
      <c r="G971" t="inlineStr">
        <is>
          <t>Service Charge Associates Ltd</t>
        </is>
      </c>
      <c r="H971">
        <f>HYPERLINK("https://app.apollo.io/#/organizations/54a1d36d7468694f8f9c7714")</f>
        <v/>
      </c>
      <c r="I971">
        <f>HYPERLINK("http://www.servicechargeassociates.co.uk/")</f>
        <v/>
      </c>
      <c r="J971">
        <f>HYPERLINK("http://www.linkedin.com/company/service-charge-associates-ltd")</f>
        <v/>
      </c>
      <c r="K971">
        <f>HYPERLINK("Not Found")</f>
        <v/>
      </c>
      <c r="L971">
        <f>HYPERLINK("Not Found")</f>
        <v/>
      </c>
      <c r="M971" t="inlineStr">
        <is>
          <t>Gloucester, United Kingdom</t>
        </is>
      </c>
      <c r="N971" t="inlineStr">
        <is>
          <t>5</t>
        </is>
      </c>
      <c r="O971" t="inlineStr">
        <is>
          <t>Commercial Real Estate</t>
        </is>
      </c>
      <c r="P971" t="inlineStr">
        <is>
          <t>facilities management,building surveying</t>
        </is>
      </c>
      <c r="Q971" t="inlineStr">
        <is>
          <t>Not Found</t>
        </is>
      </c>
    </row>
    <row r="972">
      <c r="A972" t="inlineStr">
        <is>
          <t>62ea936135e93c00013f5b0b</t>
        </is>
      </c>
      <c r="B972" t="inlineStr">
        <is>
          <t>Alastair Reynolds</t>
        </is>
      </c>
      <c r="C972">
        <f>HYPERLINK("http://www.linkedin.com/in/amreynolds")</f>
        <v/>
      </c>
      <c r="D972" t="inlineStr">
        <is>
          <t>Not Found</t>
        </is>
      </c>
      <c r="E972" t="inlineStr">
        <is>
          <t>Vice President &amp; General Manager, European Projects</t>
        </is>
      </c>
      <c r="F972">
        <f>HYPERLINK("https://app.apollo.io/#/people/62ea936135e93c00013f5b0b")</f>
        <v/>
      </c>
      <c r="G972" t="inlineStr">
        <is>
          <t>Honeywell Building Solutions</t>
        </is>
      </c>
      <c r="H972">
        <f>HYPERLINK("https://app.apollo.io/#/organizations/61947cad87d883008c0b751e")</f>
        <v/>
      </c>
      <c r="I972">
        <f>HYPERLINK("Not Found")</f>
        <v/>
      </c>
      <c r="J972">
        <f>HYPERLINK("http://www.linkedin.com/company/honeywell-building-solutions-us")</f>
        <v/>
      </c>
      <c r="K972">
        <f>HYPERLINK("Not Found")</f>
        <v/>
      </c>
      <c r="L972">
        <f>HYPERLINK("Not Found")</f>
        <v/>
      </c>
      <c r="M972" t="inlineStr">
        <is>
          <t>Edinburgh, United Kingdom</t>
        </is>
      </c>
      <c r="N972" t="inlineStr">
        <is>
          <t>250</t>
        </is>
      </c>
      <c r="O972" t="inlineStr">
        <is>
          <t>Commercial Real Estate</t>
        </is>
      </c>
      <c r="Q972" t="inlineStr">
        <is>
          <t>Not Found</t>
        </is>
      </c>
    </row>
    <row r="973">
      <c r="A973" t="inlineStr">
        <is>
          <t>613ec6b66210e2000104d5ea</t>
        </is>
      </c>
      <c r="B973" t="inlineStr">
        <is>
          <t>Laura Delaney</t>
        </is>
      </c>
      <c r="C973">
        <f>HYPERLINK("http://www.linkedin.com/in/laura-delaney-cipd-ccmp-939a1424")</f>
        <v/>
      </c>
      <c r="D973" t="inlineStr">
        <is>
          <t>Not Found</t>
        </is>
      </c>
      <c r="E973" t="inlineStr">
        <is>
          <t>Talent Development &amp; Performance Director</t>
        </is>
      </c>
      <c r="F973">
        <f>HYPERLINK("https://app.apollo.io/#/people/613ec6b66210e2000104d5ea")</f>
        <v/>
      </c>
      <c r="G973" t="inlineStr">
        <is>
          <t>CBRE Global Workplace Solutions (GWS)</t>
        </is>
      </c>
      <c r="H973">
        <f>HYPERLINK("https://app.apollo.io/#/accounts/6509fed6f449800001b69a15")</f>
        <v/>
      </c>
      <c r="I973">
        <f>HYPERLINK("http://www.coor.com/")</f>
        <v/>
      </c>
      <c r="J973">
        <f>HYPERLINK("http://www.linkedin.com/company/cbre-gws")</f>
        <v/>
      </c>
      <c r="K973">
        <f>HYPERLINK("Not Found")</f>
        <v/>
      </c>
      <c r="L973">
        <f>HYPERLINK("Not Found")</f>
        <v/>
      </c>
      <c r="M973" t="inlineStr">
        <is>
          <t>London, United Kingdom</t>
        </is>
      </c>
      <c r="N973" t="inlineStr">
        <is>
          <t>15,000</t>
        </is>
      </c>
      <c r="O973" t="inlineStr">
        <is>
          <t>Commercial Real Estate</t>
        </is>
      </c>
      <c r="P973" t="inlineStr">
        <is>
          <t>project management,advisory,transaction services</t>
        </is>
      </c>
      <c r="Q973" t="inlineStr">
        <is>
          <t>Not Found</t>
        </is>
      </c>
    </row>
    <row r="974">
      <c r="A974" t="inlineStr">
        <is>
          <t>54a3f7f7746869367600b721</t>
        </is>
      </c>
      <c r="B974" t="inlineStr">
        <is>
          <t>Simon Summerby-Bent</t>
        </is>
      </c>
      <c r="C974">
        <f>HYPERLINK("http://www.linkedin.com/in/simon-summerby-bent-05145110")</f>
        <v/>
      </c>
      <c r="D974" t="inlineStr">
        <is>
          <t>Not Found</t>
        </is>
      </c>
      <c r="E974" t="inlineStr">
        <is>
          <t>Director - Valuation and Advisory Services</t>
        </is>
      </c>
      <c r="F974">
        <f>HYPERLINK("https://app.apollo.io/#/people/54a3f7f7746869367600b721")</f>
        <v/>
      </c>
      <c r="G974" t="inlineStr">
        <is>
          <t>Colliers</t>
        </is>
      </c>
      <c r="H974">
        <f>HYPERLINK("https://app.apollo.io/#/accounts/64aaf6c63d556a0001e8eda6")</f>
        <v/>
      </c>
      <c r="I974">
        <f>HYPERLINK("http://www.colliers.com/")</f>
        <v/>
      </c>
      <c r="J974">
        <f>HYPERLINK("http://www.linkedin.com/company/colliers")</f>
        <v/>
      </c>
      <c r="K974">
        <f>HYPERLINK("https://twitter.com/Colliers")</f>
        <v/>
      </c>
      <c r="L974">
        <f>HYPERLINK("https://facebook.com/colliersinternational/")</f>
        <v/>
      </c>
      <c r="M974" t="inlineStr">
        <is>
          <t>Birmingham, United Kingdom</t>
        </is>
      </c>
      <c r="N974" t="inlineStr">
        <is>
          <t>25,000</t>
        </is>
      </c>
      <c r="O974" t="inlineStr">
        <is>
          <t>Commercial Real Estate</t>
        </is>
      </c>
      <c r="P974" t="inlineStr">
        <is>
          <t>brokerage &amp; agency,corporate solutions</t>
        </is>
      </c>
      <c r="Q974" t="inlineStr">
        <is>
          <t>Not Found</t>
        </is>
      </c>
    </row>
    <row r="975">
      <c r="A975" t="inlineStr">
        <is>
          <t>60ee6931aab6af0001f78f72</t>
        </is>
      </c>
      <c r="B975" t="inlineStr">
        <is>
          <t>Robert King</t>
        </is>
      </c>
      <c r="C975">
        <f>HYPERLINK("http://www.linkedin.com/in/robert-king-378a4319")</f>
        <v/>
      </c>
      <c r="D975" t="inlineStr">
        <is>
          <t>Not Found</t>
        </is>
      </c>
      <c r="E975" t="inlineStr">
        <is>
          <t>Software &amp; Data Intelligence Director</t>
        </is>
      </c>
      <c r="F975">
        <f>HYPERLINK("https://app.apollo.io/#/people/60ee6931aab6af0001f78f72")</f>
        <v/>
      </c>
      <c r="G975" t="inlineStr">
        <is>
          <t>Leaders Romans Group</t>
        </is>
      </c>
      <c r="H975">
        <f>HYPERLINK("https://app.apollo.io/#/accounts/6578b8bc85cede01ae5c466b")</f>
        <v/>
      </c>
      <c r="I975">
        <f>HYPERLINK("http://www.lrg.co.uk/")</f>
        <v/>
      </c>
      <c r="J975">
        <f>HYPERLINK("http://www.linkedin.com/company/leaders-romans-group")</f>
        <v/>
      </c>
      <c r="K975">
        <f>HYPERLINK("Not Found")</f>
        <v/>
      </c>
      <c r="L975">
        <f>HYPERLINK("Not Found")</f>
        <v/>
      </c>
      <c r="M975" t="inlineStr">
        <is>
          <t>Bracknell, United Kingdom</t>
        </is>
      </c>
      <c r="N975" t="inlineStr">
        <is>
          <t>2,600</t>
        </is>
      </c>
      <c r="O975" t="inlineStr">
        <is>
          <t>Commercial Real Estate</t>
        </is>
      </c>
      <c r="P975" t="inlineStr">
        <is>
          <t>estate agency,lettings,property investment</t>
        </is>
      </c>
      <c r="Q975" t="inlineStr">
        <is>
          <t>Not Found</t>
        </is>
      </c>
    </row>
    <row r="976">
      <c r="A976" t="inlineStr">
        <is>
          <t>5ffb905572b9cb00012c39c0</t>
        </is>
      </c>
      <c r="B976" t="inlineStr">
        <is>
          <t>Fons Dorst</t>
        </is>
      </c>
      <c r="C976">
        <f>HYPERLINK("http://www.linkedin.com/in/fonsvandorst")</f>
        <v/>
      </c>
      <c r="D976" t="inlineStr">
        <is>
          <t>Not Found</t>
        </is>
      </c>
      <c r="E976" t="inlineStr">
        <is>
          <t>Executive Managing Director UK</t>
        </is>
      </c>
      <c r="F976">
        <f>HYPERLINK("https://app.apollo.io/#/people/5ffb905572b9cb00012c39c0")</f>
        <v/>
      </c>
      <c r="G976" t="inlineStr">
        <is>
          <t>EDGE</t>
        </is>
      </c>
      <c r="H976">
        <f>HYPERLINK("https://app.apollo.io/#/accounts/6578c3ae48f92e03e9979f91")</f>
        <v/>
      </c>
      <c r="I976">
        <f>HYPERLINK("http://www.edge.tech/")</f>
        <v/>
      </c>
      <c r="J976">
        <f>HYPERLINK("http://www.linkedin.com/company/edge-real-tech")</f>
        <v/>
      </c>
      <c r="K976">
        <f>HYPERLINK("https://twitter.com/edgetech_")</f>
        <v/>
      </c>
      <c r="L976">
        <f>HYPERLINK("Not Found")</f>
        <v/>
      </c>
      <c r="M976" t="inlineStr">
        <is>
          <t>London, United Kingdom</t>
        </is>
      </c>
      <c r="N976" t="inlineStr">
        <is>
          <t>180</t>
        </is>
      </c>
      <c r="O976" t="inlineStr">
        <is>
          <t>Commercial Real Estate</t>
        </is>
      </c>
      <c r="P976" t="inlineStr">
        <is>
          <t>circular economy,building development,real estate</t>
        </is>
      </c>
      <c r="Q976" t="inlineStr">
        <is>
          <t>Not Found</t>
        </is>
      </c>
    </row>
    <row r="977">
      <c r="A977" t="inlineStr">
        <is>
          <t>621265a4104b3b00010dfa16</t>
        </is>
      </c>
      <c r="B977" t="inlineStr">
        <is>
          <t>Mark Lombard</t>
        </is>
      </c>
      <c r="C977">
        <f>HYPERLINK("http://www.linkedin.com/in/mark-lombard-47a6b618")</f>
        <v/>
      </c>
      <c r="D977" t="inlineStr">
        <is>
          <t>Not Found</t>
        </is>
      </c>
      <c r="E977" t="inlineStr">
        <is>
          <t>HSE Global Program Director</t>
        </is>
      </c>
      <c r="F977">
        <f>HYPERLINK("https://app.apollo.io/#/people/621265a4104b3b00010dfa16")</f>
        <v/>
      </c>
      <c r="G977" t="inlineStr">
        <is>
          <t>CBRE Global Workplace Solutions (GWS)</t>
        </is>
      </c>
      <c r="H977">
        <f>HYPERLINK("https://app.apollo.io/#/accounts/6509fed6f449800001b69a15")</f>
        <v/>
      </c>
      <c r="I977">
        <f>HYPERLINK("http://www.coor.com/")</f>
        <v/>
      </c>
      <c r="J977">
        <f>HYPERLINK("http://www.linkedin.com/company/cbre-gws")</f>
        <v/>
      </c>
      <c r="K977">
        <f>HYPERLINK("Not Found")</f>
        <v/>
      </c>
      <c r="L977">
        <f>HYPERLINK("Not Found")</f>
        <v/>
      </c>
      <c r="M977" t="inlineStr">
        <is>
          <t>London, United Kingdom</t>
        </is>
      </c>
      <c r="N977" t="inlineStr">
        <is>
          <t>15,000</t>
        </is>
      </c>
      <c r="O977" t="inlineStr">
        <is>
          <t>Commercial Real Estate</t>
        </is>
      </c>
      <c r="P977" t="inlineStr">
        <is>
          <t>project management,advisory,transaction services</t>
        </is>
      </c>
      <c r="Q977" t="inlineStr">
        <is>
          <t>Not Found</t>
        </is>
      </c>
    </row>
    <row r="978">
      <c r="A978" t="inlineStr">
        <is>
          <t>5f09d1b4882f590001fc6d2c</t>
        </is>
      </c>
      <c r="B978" t="inlineStr">
        <is>
          <t>Shane</t>
        </is>
      </c>
      <c r="C978">
        <f>HYPERLINK("http://www.linkedin.com/in/shane-killeen")</f>
        <v/>
      </c>
      <c r="D978" t="inlineStr">
        <is>
          <t>Not Found</t>
        </is>
      </c>
      <c r="E978" t="inlineStr">
        <is>
          <t>Workplace Experience Director UK</t>
        </is>
      </c>
      <c r="F978">
        <f>HYPERLINK("https://app.apollo.io/#/people/5f09d1b4882f590001fc6d2c")</f>
        <v/>
      </c>
      <c r="G978" t="inlineStr">
        <is>
          <t>CBRE Global Workplace Solutions (GWS)</t>
        </is>
      </c>
      <c r="H978">
        <f>HYPERLINK("https://app.apollo.io/#/accounts/6509fed6f449800001b69a15")</f>
        <v/>
      </c>
      <c r="I978">
        <f>HYPERLINK("http://www.coor.com/")</f>
        <v/>
      </c>
      <c r="J978">
        <f>HYPERLINK("http://www.linkedin.com/company/cbre-gws")</f>
        <v/>
      </c>
      <c r="K978">
        <f>HYPERLINK("Not Found")</f>
        <v/>
      </c>
      <c r="L978">
        <f>HYPERLINK("Not Found")</f>
        <v/>
      </c>
      <c r="M978" t="inlineStr">
        <is>
          <t>London, United Kingdom</t>
        </is>
      </c>
      <c r="N978" t="inlineStr">
        <is>
          <t>15,000</t>
        </is>
      </c>
      <c r="O978" t="inlineStr">
        <is>
          <t>Commercial Real Estate</t>
        </is>
      </c>
      <c r="P978" t="inlineStr">
        <is>
          <t>project management,advisory,transaction services</t>
        </is>
      </c>
      <c r="Q978" t="inlineStr">
        <is>
          <t>Not Found</t>
        </is>
      </c>
    </row>
    <row r="979">
      <c r="A979" t="inlineStr">
        <is>
          <t>54a38acb7468692cf02b0302</t>
        </is>
      </c>
      <c r="B979" t="inlineStr">
        <is>
          <t>Kim Lidbury</t>
        </is>
      </c>
      <c r="C979">
        <f>HYPERLINK("http://www.linkedin.com/in/kim-lidbury-6ab75277")</f>
        <v/>
      </c>
      <c r="D979" t="inlineStr">
        <is>
          <t>Not Found</t>
        </is>
      </c>
      <c r="E979" t="inlineStr">
        <is>
          <t>Group Director, Property Management</t>
        </is>
      </c>
      <c r="F979">
        <f>HYPERLINK("https://app.apollo.io/#/people/54a38acb7468692cf02b0302")</f>
        <v/>
      </c>
      <c r="G979" t="inlineStr">
        <is>
          <t>Leaders Romans Group</t>
        </is>
      </c>
      <c r="H979">
        <f>HYPERLINK("https://app.apollo.io/#/accounts/6578b8bc85cede01ae5c466b")</f>
        <v/>
      </c>
      <c r="I979">
        <f>HYPERLINK("http://www.lrg.co.uk/")</f>
        <v/>
      </c>
      <c r="J979">
        <f>HYPERLINK("http://www.linkedin.com/company/leaders-romans-group")</f>
        <v/>
      </c>
      <c r="K979">
        <f>HYPERLINK("Not Found")</f>
        <v/>
      </c>
      <c r="L979">
        <f>HYPERLINK("Not Found")</f>
        <v/>
      </c>
      <c r="M979" t="inlineStr">
        <is>
          <t>Sutton, United Kingdom</t>
        </is>
      </c>
      <c r="N979" t="inlineStr">
        <is>
          <t>2,600</t>
        </is>
      </c>
      <c r="O979" t="inlineStr">
        <is>
          <t>Commercial Real Estate</t>
        </is>
      </c>
      <c r="P979" t="inlineStr">
        <is>
          <t>estate agency,lettings,property investment</t>
        </is>
      </c>
      <c r="Q979" t="inlineStr">
        <is>
          <t>Not Found</t>
        </is>
      </c>
    </row>
    <row r="980">
      <c r="A980" t="inlineStr">
        <is>
          <t>57d415c8a6da9853f53bf44a</t>
        </is>
      </c>
      <c r="B980" t="inlineStr">
        <is>
          <t>Ned Mutter</t>
        </is>
      </c>
      <c r="C980">
        <f>HYPERLINK("http://www.linkedin.com/in/ned-mutter-5b243925")</f>
        <v/>
      </c>
      <c r="D980" t="inlineStr">
        <is>
          <t>Not Found</t>
        </is>
      </c>
      <c r="E980" t="inlineStr">
        <is>
          <t>Director Corporate Real Estate</t>
        </is>
      </c>
      <c r="F980">
        <f>HYPERLINK("https://app.apollo.io/#/people/57d415c8a6da9853f53bf44a")</f>
        <v/>
      </c>
      <c r="G980" t="inlineStr">
        <is>
          <t>Leaders Romans Group</t>
        </is>
      </c>
      <c r="H980">
        <f>HYPERLINK("https://app.apollo.io/#/accounts/6578b8bc85cede01ae5c466b")</f>
        <v/>
      </c>
      <c r="I980">
        <f>HYPERLINK("http://www.lrg.co.uk/")</f>
        <v/>
      </c>
      <c r="J980">
        <f>HYPERLINK("http://www.linkedin.com/company/leaders-romans-group")</f>
        <v/>
      </c>
      <c r="K980">
        <f>HYPERLINK("Not Found")</f>
        <v/>
      </c>
      <c r="L980">
        <f>HYPERLINK("Not Found")</f>
        <v/>
      </c>
      <c r="M980" t="inlineStr">
        <is>
          <t>Worcester, United Kingdom</t>
        </is>
      </c>
      <c r="N980" t="inlineStr">
        <is>
          <t>2,600</t>
        </is>
      </c>
      <c r="O980" t="inlineStr">
        <is>
          <t>Commercial Real Estate</t>
        </is>
      </c>
      <c r="P980" t="inlineStr">
        <is>
          <t>estate agency,lettings,property investment</t>
        </is>
      </c>
      <c r="Q980" t="inlineStr">
        <is>
          <t>Not Found</t>
        </is>
      </c>
    </row>
    <row r="981">
      <c r="A981" t="inlineStr">
        <is>
          <t>54a3dbf774686938ac9ed618</t>
        </is>
      </c>
      <c r="B981" t="inlineStr">
        <is>
          <t>Andy Dicks</t>
        </is>
      </c>
      <c r="C981">
        <f>HYPERLINK("http://www.linkedin.com/in/andy-dicks-03584151")</f>
        <v/>
      </c>
      <c r="D981" t="inlineStr">
        <is>
          <t>Not Found</t>
        </is>
      </c>
      <c r="E981" t="inlineStr">
        <is>
          <t>Commercial Director, Urban Regeneration</t>
        </is>
      </c>
      <c r="F981">
        <f>HYPERLINK("https://app.apollo.io/#/people/54a3dbf774686938ac9ed618")</f>
        <v/>
      </c>
      <c r="G981" t="inlineStr">
        <is>
          <t>Landsec</t>
        </is>
      </c>
      <c r="H981">
        <f>HYPERLINK("https://app.apollo.io/#/accounts/6578b86a75dc3a02ccc995c8")</f>
        <v/>
      </c>
      <c r="I981">
        <f>HYPERLINK("http://www.landsec.com/")</f>
        <v/>
      </c>
      <c r="J981">
        <f>HYPERLINK("http://www.linkedin.com/company/landsec")</f>
        <v/>
      </c>
      <c r="K981">
        <f>HYPERLINK("https://twitter.com/landsecgroup?lang=en")</f>
        <v/>
      </c>
      <c r="L981">
        <f>HYPERLINK("https://facebook.com/pages/category/Real-Estate-Company/Landsec-Group-335042077050643/")</f>
        <v/>
      </c>
      <c r="M981" t="inlineStr">
        <is>
          <t>London, United Kingdom</t>
        </is>
      </c>
      <c r="N981" t="inlineStr">
        <is>
          <t>860</t>
        </is>
      </c>
      <c r="O981" t="inlineStr">
        <is>
          <t>Commercial Real Estate</t>
        </is>
      </c>
      <c r="P981" t="inlineStr">
        <is>
          <t>property investment,management &amp; development</t>
        </is>
      </c>
      <c r="Q981" t="inlineStr">
        <is>
          <t>Not Found</t>
        </is>
      </c>
    </row>
    <row r="982">
      <c r="A982" t="inlineStr">
        <is>
          <t>54a3adb67468693209b0160a</t>
        </is>
      </c>
      <c r="B982" t="inlineStr">
        <is>
          <t>David Kos</t>
        </is>
      </c>
      <c r="C982">
        <f>HYPERLINK("http://www.linkedin.com/in/david-kos-a093b748")</f>
        <v/>
      </c>
      <c r="D982" t="inlineStr">
        <is>
          <t>Not Found</t>
        </is>
      </c>
      <c r="E982" t="inlineStr">
        <is>
          <t>Director - National Capital Markets</t>
        </is>
      </c>
      <c r="F982">
        <f>HYPERLINK("https://app.apollo.io/#/people/54a3adb67468693209b0160a")</f>
        <v/>
      </c>
      <c r="G982" t="inlineStr">
        <is>
          <t>Colliers</t>
        </is>
      </c>
      <c r="H982">
        <f>HYPERLINK("https://app.apollo.io/#/accounts/64aaf6c63d556a0001e8eda6")</f>
        <v/>
      </c>
      <c r="I982">
        <f>HYPERLINK("http://www.colliers.com/")</f>
        <v/>
      </c>
      <c r="J982">
        <f>HYPERLINK("http://www.linkedin.com/company/colliers")</f>
        <v/>
      </c>
      <c r="K982">
        <f>HYPERLINK("https://twitter.com/Colliers")</f>
        <v/>
      </c>
      <c r="L982">
        <f>HYPERLINK("https://facebook.com/colliersinternational/")</f>
        <v/>
      </c>
      <c r="M982" t="inlineStr">
        <is>
          <t>West End, United Kingdom</t>
        </is>
      </c>
      <c r="N982" t="inlineStr">
        <is>
          <t>25,000</t>
        </is>
      </c>
      <c r="O982" t="inlineStr">
        <is>
          <t>Commercial Real Estate</t>
        </is>
      </c>
      <c r="P982" t="inlineStr">
        <is>
          <t>brokerage &amp; agency,corporate solutions,investment services</t>
        </is>
      </c>
      <c r="Q982" t="inlineStr">
        <is>
          <t>Not Found</t>
        </is>
      </c>
    </row>
    <row r="983">
      <c r="A983" t="inlineStr">
        <is>
          <t>54a57b5174686938ac424798</t>
        </is>
      </c>
      <c r="B983" t="inlineStr">
        <is>
          <t>Loren Falgate</t>
        </is>
      </c>
      <c r="C983">
        <f>HYPERLINK("http://www.linkedin.com/in/loren-falgate-78808493")</f>
        <v/>
      </c>
      <c r="D983" t="inlineStr">
        <is>
          <t>Not Found</t>
        </is>
      </c>
      <c r="E983" t="inlineStr">
        <is>
          <t>Health &amp; Safety Director - Operations</t>
        </is>
      </c>
      <c r="F983">
        <f>HYPERLINK("https://app.apollo.io/#/people/54a57b5174686938ac424798")</f>
        <v/>
      </c>
      <c r="G983" t="inlineStr">
        <is>
          <t>Landsec</t>
        </is>
      </c>
      <c r="H983">
        <f>HYPERLINK("https://app.apollo.io/#/accounts/6578b86a75dc3a02ccc995c8")</f>
        <v/>
      </c>
      <c r="I983">
        <f>HYPERLINK("http://www.landsec.com/")</f>
        <v/>
      </c>
      <c r="J983">
        <f>HYPERLINK("http://www.linkedin.com/company/landsec")</f>
        <v/>
      </c>
      <c r="K983">
        <f>HYPERLINK("https://twitter.com/landsecgroup?lang=en")</f>
        <v/>
      </c>
      <c r="L983">
        <f>HYPERLINK("https://facebook.com/pages/category/Real-Estate-Company/Landsec-Group-335042077050643/")</f>
        <v/>
      </c>
      <c r="M983" t="inlineStr">
        <is>
          <t>London, United Kingdom</t>
        </is>
      </c>
      <c r="N983" t="inlineStr">
        <is>
          <t>860</t>
        </is>
      </c>
      <c r="O983" t="inlineStr">
        <is>
          <t>Commercial Real Estate</t>
        </is>
      </c>
      <c r="P983" t="inlineStr">
        <is>
          <t>property investment,management &amp; development</t>
        </is>
      </c>
      <c r="Q983" t="inlineStr">
        <is>
          <t>Not Found</t>
        </is>
      </c>
    </row>
    <row r="984">
      <c r="A984" t="inlineStr">
        <is>
          <t>602a70ca7aa0480001bd1d8e</t>
        </is>
      </c>
      <c r="B984" t="inlineStr">
        <is>
          <t>Fraser Wem</t>
        </is>
      </c>
      <c r="C984">
        <f>HYPERLINK("http://www.linkedin.com/in/fraser-wem-365371130")</f>
        <v/>
      </c>
      <c r="D984" t="inlineStr">
        <is>
          <t>Not Found</t>
        </is>
      </c>
      <c r="E984" t="inlineStr">
        <is>
          <t>Associate Director of Procurement (EMEA)</t>
        </is>
      </c>
      <c r="F984">
        <f>HYPERLINK("https://app.apollo.io/#/people/602a70ca7aa0480001bd1d8e")</f>
        <v/>
      </c>
      <c r="G984" t="inlineStr">
        <is>
          <t>CBRE Global Workplace Solutions (GWS)</t>
        </is>
      </c>
      <c r="H984">
        <f>HYPERLINK("https://app.apollo.io/#/accounts/6509fed6f449800001b69a15")</f>
        <v/>
      </c>
      <c r="I984">
        <f>HYPERLINK("http://www.coor.com/")</f>
        <v/>
      </c>
      <c r="J984">
        <f>HYPERLINK("http://www.linkedin.com/company/cbre-gws")</f>
        <v/>
      </c>
      <c r="K984">
        <f>HYPERLINK("Not Found")</f>
        <v/>
      </c>
      <c r="L984">
        <f>HYPERLINK("Not Found")</f>
        <v/>
      </c>
      <c r="M984" t="inlineStr">
        <is>
          <t>London, United Kingdom</t>
        </is>
      </c>
      <c r="N984" t="inlineStr">
        <is>
          <t>15,000</t>
        </is>
      </c>
      <c r="O984" t="inlineStr">
        <is>
          <t>Commercial Real Estate</t>
        </is>
      </c>
      <c r="P984" t="inlineStr">
        <is>
          <t>project management,advisory,transaction services</t>
        </is>
      </c>
      <c r="Q984" t="inlineStr">
        <is>
          <t>Not Found</t>
        </is>
      </c>
    </row>
    <row r="985">
      <c r="A985" t="inlineStr">
        <is>
          <t>55710cec73696446aa500300</t>
        </is>
      </c>
      <c r="B985" t="inlineStr">
        <is>
          <t>Ruth McFetridge</t>
        </is>
      </c>
      <c r="C985">
        <f>HYPERLINK("http://www.linkedin.com/in/ruth-mcfetridge-71bb3190")</f>
        <v/>
      </c>
      <c r="D985" t="inlineStr">
        <is>
          <t>Not Found</t>
        </is>
      </c>
      <c r="E985" t="inlineStr">
        <is>
          <t>Senior Retail Leasing Director</t>
        </is>
      </c>
      <c r="F985">
        <f>HYPERLINK("https://app.apollo.io/#/people/55710cec73696446aa500300")</f>
        <v/>
      </c>
      <c r="G985" t="inlineStr">
        <is>
          <t>Landsec</t>
        </is>
      </c>
      <c r="H985">
        <f>HYPERLINK("https://app.apollo.io/#/accounts/6578b86a75dc3a02ccc995c8")</f>
        <v/>
      </c>
      <c r="I985">
        <f>HYPERLINK("http://www.landsec.com/")</f>
        <v/>
      </c>
      <c r="J985">
        <f>HYPERLINK("http://www.linkedin.com/company/landsec")</f>
        <v/>
      </c>
      <c r="K985">
        <f>HYPERLINK("https://twitter.com/landsecgroup?lang=en")</f>
        <v/>
      </c>
      <c r="L985">
        <f>HYPERLINK("https://facebook.com/pages/category/Real-Estate-Company/Landsec-Group-335042077050643/")</f>
        <v/>
      </c>
      <c r="M985" t="inlineStr">
        <is>
          <t>London, United Kingdom</t>
        </is>
      </c>
      <c r="N985" t="inlineStr">
        <is>
          <t>860</t>
        </is>
      </c>
      <c r="O985" t="inlineStr">
        <is>
          <t>Commercial Real Estate</t>
        </is>
      </c>
      <c r="P985" t="inlineStr">
        <is>
          <t>property investment,management &amp; development</t>
        </is>
      </c>
      <c r="Q985" t="inlineStr">
        <is>
          <t>Not Found</t>
        </is>
      </c>
    </row>
    <row r="986">
      <c r="A986" t="inlineStr">
        <is>
          <t>57e0b438a6da98247c5aa15c</t>
        </is>
      </c>
      <c r="B986" t="inlineStr">
        <is>
          <t>Jack Sutton</t>
        </is>
      </c>
      <c r="C986">
        <f>HYPERLINK("http://www.linkedin.com/in/jack-sutton-3020713a")</f>
        <v/>
      </c>
      <c r="D986" t="inlineStr">
        <is>
          <t>Not Found</t>
        </is>
      </c>
      <c r="E986" t="inlineStr">
        <is>
          <t>Director - Valuation and Advisory Services</t>
        </is>
      </c>
      <c r="F986">
        <f>HYPERLINK("https://app.apollo.io/#/people/57e0b438a6da98247c5aa15c")</f>
        <v/>
      </c>
      <c r="G986" t="inlineStr">
        <is>
          <t>Colliers</t>
        </is>
      </c>
      <c r="H986">
        <f>HYPERLINK("https://app.apollo.io/#/accounts/64aaf6c63d556a0001e8eda6")</f>
        <v/>
      </c>
      <c r="I986">
        <f>HYPERLINK("http://www.colliers.com/")</f>
        <v/>
      </c>
      <c r="J986">
        <f>HYPERLINK("http://www.linkedin.com/company/colliers")</f>
        <v/>
      </c>
      <c r="K986">
        <f>HYPERLINK("https://twitter.com/Colliers")</f>
        <v/>
      </c>
      <c r="L986">
        <f>HYPERLINK("https://facebook.com/colliersinternational/")</f>
        <v/>
      </c>
      <c r="M986" t="inlineStr">
        <is>
          <t>London, United Kingdom</t>
        </is>
      </c>
      <c r="N986" t="inlineStr">
        <is>
          <t>25,000</t>
        </is>
      </c>
      <c r="O986" t="inlineStr">
        <is>
          <t>Commercial Real Estate</t>
        </is>
      </c>
      <c r="P986" t="inlineStr">
        <is>
          <t>brokerage &amp; agency,corporate solutions,investment services</t>
        </is>
      </c>
      <c r="Q986" t="inlineStr">
        <is>
          <t>Not Found</t>
        </is>
      </c>
    </row>
    <row r="987">
      <c r="A987" t="inlineStr">
        <is>
          <t>6061e47db745e300013075eb</t>
        </is>
      </c>
      <c r="B987" t="inlineStr">
        <is>
          <t>Reagan Bradley</t>
        </is>
      </c>
      <c r="C987">
        <f>HYPERLINK("http://www.linkedin.com/in/reaganbradley")</f>
        <v/>
      </c>
      <c r="D987" t="inlineStr">
        <is>
          <t>Not Found</t>
        </is>
      </c>
      <c r="E987" t="inlineStr">
        <is>
          <t>Director Of Operations, Lettings and Management</t>
        </is>
      </c>
      <c r="F987">
        <f>HYPERLINK("https://app.apollo.io/#/people/6061e47db745e300013075eb")</f>
        <v/>
      </c>
      <c r="G987" t="inlineStr">
        <is>
          <t>Paramount Properties</t>
        </is>
      </c>
      <c r="H987">
        <f>HYPERLINK("https://app.apollo.io/#/accounts/6578b8d685cede01ae5c47ae")</f>
        <v/>
      </c>
      <c r="I987">
        <f>HYPERLINK("http://www.paramount-properties.co.uk/")</f>
        <v/>
      </c>
      <c r="J987">
        <f>HYPERLINK("http://www.linkedin.com/company/paramount-group-of-companies")</f>
        <v/>
      </c>
      <c r="K987">
        <f>HYPERLINK("https://twitter.com/paramountldn")</f>
        <v/>
      </c>
      <c r="L987">
        <f>HYPERLINK("https://www.facebook.com/paramountpropertieslondon")</f>
        <v/>
      </c>
      <c r="M987" t="inlineStr">
        <is>
          <t>London, United Kingdom</t>
        </is>
      </c>
      <c r="N987" t="inlineStr">
        <is>
          <t>69</t>
        </is>
      </c>
      <c r="O987" t="inlineStr">
        <is>
          <t>Commercial Real Estate</t>
        </is>
      </c>
      <c r="P987" t="inlineStr">
        <is>
          <t>residential lettings,investment properties,residential sales</t>
        </is>
      </c>
      <c r="Q987" t="inlineStr">
        <is>
          <t>Not Found</t>
        </is>
      </c>
    </row>
    <row r="988">
      <c r="A988" t="inlineStr">
        <is>
          <t>5f998a8fea35150001185022</t>
        </is>
      </c>
      <c r="B988" t="inlineStr">
        <is>
          <t>Nikki Gibson</t>
        </is>
      </c>
      <c r="C988">
        <f>HYPERLINK("http://www.linkedin.com/in/nikki-gibson-2146a516")</f>
        <v/>
      </c>
      <c r="D988" t="inlineStr">
        <is>
          <t>Not Found</t>
        </is>
      </c>
      <c r="E988" t="inlineStr">
        <is>
          <t>Director &amp; Head of Flexible Workspaces</t>
        </is>
      </c>
      <c r="F988">
        <f>HYPERLINK("https://app.apollo.io/#/people/5f998a8fea35150001185022")</f>
        <v/>
      </c>
      <c r="G988" t="inlineStr">
        <is>
          <t>Ashdown Phillips</t>
        </is>
      </c>
      <c r="H988">
        <f>HYPERLINK("https://app.apollo.io/#/organizations/55f7c16bf3e5bb1ca0000d1d")</f>
        <v/>
      </c>
      <c r="I988">
        <f>HYPERLINK("http://www.ashdownphillips.com/")</f>
        <v/>
      </c>
      <c r="J988">
        <f>HYPERLINK("http://www.linkedin.com/company/ashdown-phillips-&amp;-partners-limited")</f>
        <v/>
      </c>
      <c r="K988">
        <f>HYPERLINK("https://twitter.com/AshdownPhillips")</f>
        <v/>
      </c>
      <c r="L988">
        <f>HYPERLINK("Not Found")</f>
        <v/>
      </c>
      <c r="M988" t="inlineStr">
        <is>
          <t>England, United Kingdom</t>
        </is>
      </c>
      <c r="N988" t="inlineStr">
        <is>
          <t>130</t>
        </is>
      </c>
      <c r="O988" t="inlineStr">
        <is>
          <t>Commercial Real Estate</t>
        </is>
      </c>
      <c r="P988" t="inlineStr">
        <is>
          <t>commercial real estate,property management</t>
        </is>
      </c>
      <c r="Q988" t="inlineStr">
        <is>
          <t>Not Found</t>
        </is>
      </c>
    </row>
    <row r="989">
      <c r="A989" t="inlineStr">
        <is>
          <t>5ae85cb3a6da982f8a0d47f6</t>
        </is>
      </c>
      <c r="B989" t="inlineStr">
        <is>
          <t>David Saunders</t>
        </is>
      </c>
      <c r="C989">
        <f>HYPERLINK("http://www.linkedin.com/in/david-saunders-66921942")</f>
        <v/>
      </c>
      <c r="D989" t="inlineStr">
        <is>
          <t>Not Found</t>
        </is>
      </c>
      <c r="E989" t="inlineStr">
        <is>
          <t>Procurement Director - Novartis Account</t>
        </is>
      </c>
      <c r="F989">
        <f>HYPERLINK("https://app.apollo.io/#/people/5ae85cb3a6da982f8a0d47f6")</f>
        <v/>
      </c>
      <c r="G989" t="inlineStr">
        <is>
          <t>CBRE Global Workplace Solutions (GWS)</t>
        </is>
      </c>
      <c r="H989">
        <f>HYPERLINK("https://app.apollo.io/#/accounts/6509fed6f449800001b69a15")</f>
        <v/>
      </c>
      <c r="I989">
        <f>HYPERLINK("http://www.coor.com/")</f>
        <v/>
      </c>
      <c r="J989">
        <f>HYPERLINK("http://www.linkedin.com/company/cbre-gws")</f>
        <v/>
      </c>
      <c r="K989">
        <f>HYPERLINK("Not Found")</f>
        <v/>
      </c>
      <c r="L989">
        <f>HYPERLINK("Not Found")</f>
        <v/>
      </c>
      <c r="M989" t="inlineStr">
        <is>
          <t>London, United Kingdom</t>
        </is>
      </c>
      <c r="N989" t="inlineStr">
        <is>
          <t>15,000</t>
        </is>
      </c>
      <c r="O989" t="inlineStr">
        <is>
          <t>Commercial Real Estate</t>
        </is>
      </c>
      <c r="P989" t="inlineStr">
        <is>
          <t>project management,advisory,transaction services</t>
        </is>
      </c>
      <c r="Q989" t="inlineStr">
        <is>
          <t>Not Found</t>
        </is>
      </c>
    </row>
    <row r="990">
      <c r="A990" t="inlineStr">
        <is>
          <t>5b3916e9a6da980c4ff8bae5</t>
        </is>
      </c>
      <c r="B990" t="inlineStr">
        <is>
          <t>Robert Nelson</t>
        </is>
      </c>
      <c r="C990">
        <f>HYPERLINK("http://www.linkedin.com/in/robert-nelson-84867a42")</f>
        <v/>
      </c>
      <c r="D990" t="inlineStr">
        <is>
          <t>Not Found</t>
        </is>
      </c>
      <c r="E990" t="inlineStr">
        <is>
          <t>Director, National Capital Markets</t>
        </is>
      </c>
      <c r="F990">
        <f>HYPERLINK("https://app.apollo.io/#/people/5b3916e9a6da980c4ff8bae5")</f>
        <v/>
      </c>
      <c r="G990" t="inlineStr">
        <is>
          <t>Colliers</t>
        </is>
      </c>
      <c r="H990">
        <f>HYPERLINK("https://app.apollo.io/#/accounts/64aaf6c63d556a0001e8eda6")</f>
        <v/>
      </c>
      <c r="I990">
        <f>HYPERLINK("http://www.colliers.com/")</f>
        <v/>
      </c>
      <c r="J990">
        <f>HYPERLINK("http://www.linkedin.com/company/colliers")</f>
        <v/>
      </c>
      <c r="K990">
        <f>HYPERLINK("https://twitter.com/Colliers")</f>
        <v/>
      </c>
      <c r="L990">
        <f>HYPERLINK("https://facebook.com/colliersinternational/")</f>
        <v/>
      </c>
      <c r="M990" t="inlineStr">
        <is>
          <t>United Kingdom</t>
        </is>
      </c>
      <c r="N990" t="inlineStr">
        <is>
          <t>25,000</t>
        </is>
      </c>
      <c r="O990" t="inlineStr">
        <is>
          <t>Commercial Real Estate</t>
        </is>
      </c>
      <c r="P990" t="inlineStr">
        <is>
          <t>brokerage &amp; agency,corporate solutions,investment services</t>
        </is>
      </c>
      <c r="Q990" t="inlineStr">
        <is>
          <t>Not Found</t>
        </is>
      </c>
    </row>
    <row r="991">
      <c r="A991" t="inlineStr">
        <is>
          <t>54a7dc0b746869705ac55b55</t>
        </is>
      </c>
      <c r="B991" t="inlineStr">
        <is>
          <t>Cristina Balekjian</t>
        </is>
      </c>
      <c r="C991">
        <f>HYPERLINK("http://www.linkedin.com/in/cristina-balekjian")</f>
        <v/>
      </c>
      <c r="D991" t="inlineStr">
        <is>
          <t>Not Found</t>
        </is>
      </c>
      <c r="E991" t="inlineStr">
        <is>
          <t>Director of UK Hospitality Analytics</t>
        </is>
      </c>
      <c r="F991">
        <f>HYPERLINK("https://app.apollo.io/#/people/54a7dc0b746869705ac55b55")</f>
        <v/>
      </c>
      <c r="G991" t="inlineStr">
        <is>
          <t>CoStar Group</t>
        </is>
      </c>
      <c r="H991">
        <f>HYPERLINK("https://app.apollo.io/#/accounts/6578be77ccf69c01ae54f373")</f>
        <v/>
      </c>
      <c r="I991">
        <f>HYPERLINK("http://www.costargroup.com/")</f>
        <v/>
      </c>
      <c r="J991">
        <f>HYPERLINK("http://www.linkedin.com/company/costar-group")</f>
        <v/>
      </c>
      <c r="K991">
        <f>HYPERLINK("http://twitter.com/TheCoStarGroup")</f>
        <v/>
      </c>
      <c r="L991">
        <f>HYPERLINK("http://www.facebook.com/CoStarGroup")</f>
        <v/>
      </c>
      <c r="M991" t="inlineStr">
        <is>
          <t>Henlow, United Kingdom</t>
        </is>
      </c>
      <c r="N991" t="inlineStr">
        <is>
          <t>6,300</t>
        </is>
      </c>
      <c r="O991" t="inlineStr">
        <is>
          <t>Commercial Real Estate</t>
        </is>
      </c>
      <c r="P991" t="inlineStr">
        <is>
          <t>information technology,research,marketing</t>
        </is>
      </c>
      <c r="Q991" t="inlineStr">
        <is>
          <t>Not Found</t>
        </is>
      </c>
    </row>
    <row r="992">
      <c r="A992" t="inlineStr">
        <is>
          <t>57d31e78a6da9865c9b96b18</t>
        </is>
      </c>
      <c r="B992" t="inlineStr">
        <is>
          <t>Paul Bola</t>
        </is>
      </c>
      <c r="C992">
        <f>HYPERLINK("http://www.linkedin.com/in/paul-bola-1282406b")</f>
        <v/>
      </c>
      <c r="D992" t="inlineStr">
        <is>
          <t>Not Found</t>
        </is>
      </c>
      <c r="E992" t="inlineStr">
        <is>
          <t>Workplace Director (BT HQ)</t>
        </is>
      </c>
      <c r="F992">
        <f>HYPERLINK("https://app.apollo.io/#/people/57d31e78a6da9865c9b96b18")</f>
        <v/>
      </c>
      <c r="G992" t="inlineStr">
        <is>
          <t>CBRE Global Workplace Solutions (GWS)</t>
        </is>
      </c>
      <c r="H992">
        <f>HYPERLINK("https://app.apollo.io/#/accounts/6509fed6f449800001b69a15")</f>
        <v/>
      </c>
      <c r="I992">
        <f>HYPERLINK("http://www.coor.com/")</f>
        <v/>
      </c>
      <c r="J992">
        <f>HYPERLINK("http://www.linkedin.com/company/cbre-gws")</f>
        <v/>
      </c>
      <c r="K992">
        <f>HYPERLINK("Not Found")</f>
        <v/>
      </c>
      <c r="L992">
        <f>HYPERLINK("Not Found")</f>
        <v/>
      </c>
      <c r="M992" t="inlineStr">
        <is>
          <t>London, United Kingdom</t>
        </is>
      </c>
      <c r="N992" t="inlineStr">
        <is>
          <t>15,000</t>
        </is>
      </c>
      <c r="O992" t="inlineStr">
        <is>
          <t>Commercial Real Estate</t>
        </is>
      </c>
      <c r="P992" t="inlineStr">
        <is>
          <t>project management,advisory,transaction services</t>
        </is>
      </c>
      <c r="Q992" t="inlineStr">
        <is>
          <t>Not Found</t>
        </is>
      </c>
    </row>
    <row r="993">
      <c r="A993" t="inlineStr">
        <is>
          <t>55d6c6a9f3e5bb2a520002cf</t>
        </is>
      </c>
      <c r="B993" t="inlineStr">
        <is>
          <t>Toby Cooper</t>
        </is>
      </c>
      <c r="C993">
        <f>HYPERLINK("http://www.linkedin.com/in/toby-cooper-1b354817")</f>
        <v/>
      </c>
      <c r="D993" t="inlineStr">
        <is>
          <t>Not Found</t>
        </is>
      </c>
      <c r="E993" t="inlineStr">
        <is>
          <t>Executive Director - European Investments</t>
        </is>
      </c>
      <c r="F993">
        <f>HYPERLINK("https://app.apollo.io/#/people/55d6c6a9f3e5bb2a520002cf")</f>
        <v/>
      </c>
      <c r="G993" t="inlineStr">
        <is>
          <t>Thor Equities Group</t>
        </is>
      </c>
      <c r="H993">
        <f>HYPERLINK("https://app.apollo.io/#/organizations/54a11d6769702d8aa166f500")</f>
        <v/>
      </c>
      <c r="I993">
        <f>HYPERLINK("http://www.thorequities.com/")</f>
        <v/>
      </c>
      <c r="J993">
        <f>HYPERLINK("http://www.linkedin.com/company/thor-equities")</f>
        <v/>
      </c>
      <c r="K993">
        <f>HYPERLINK("http://twitter.com/ThorEquities")</f>
        <v/>
      </c>
      <c r="L993">
        <f>HYPERLINK("http://www.facebook.com/ThorEquities")</f>
        <v/>
      </c>
      <c r="M993" t="inlineStr">
        <is>
          <t>London, United Kingdom</t>
        </is>
      </c>
      <c r="N993" t="inlineStr">
        <is>
          <t>150</t>
        </is>
      </c>
      <c r="O993" t="inlineStr">
        <is>
          <t>Commercial Real Estate</t>
        </is>
      </c>
      <c r="P993" t="inlineStr">
        <is>
          <t>commercial real estate &amp; real estate development</t>
        </is>
      </c>
      <c r="Q993" t="inlineStr">
        <is>
          <t>Not Found</t>
        </is>
      </c>
    </row>
    <row r="994">
      <c r="A994" t="inlineStr">
        <is>
          <t>54ec455874686943115af673</t>
        </is>
      </c>
      <c r="B994" t="inlineStr">
        <is>
          <t>Colin Ohara</t>
        </is>
      </c>
      <c r="C994">
        <f>HYPERLINK("http://www.linkedin.com/in/colindohara")</f>
        <v/>
      </c>
      <c r="D994" t="inlineStr">
        <is>
          <t>Not Found</t>
        </is>
      </c>
      <c r="E994" t="inlineStr">
        <is>
          <t>Group Facilities and Procurement Director</t>
        </is>
      </c>
      <c r="F994">
        <f>HYPERLINK("https://app.apollo.io/#/people/54ec455874686943115af673")</f>
        <v/>
      </c>
      <c r="G994" t="inlineStr">
        <is>
          <t>Leaders Romans Group</t>
        </is>
      </c>
      <c r="H994">
        <f>HYPERLINK("https://app.apollo.io/#/accounts/6578b8bc85cede01ae5c466b")</f>
        <v/>
      </c>
      <c r="I994">
        <f>HYPERLINK("http://www.lrg.co.uk/")</f>
        <v/>
      </c>
      <c r="J994">
        <f>HYPERLINK("http://www.linkedin.com/company/leaders-romans-group")</f>
        <v/>
      </c>
      <c r="K994">
        <f>HYPERLINK("Not Found")</f>
        <v/>
      </c>
      <c r="L994">
        <f>HYPERLINK("Not Found")</f>
        <v/>
      </c>
      <c r="M994" t="inlineStr">
        <is>
          <t>Sandhurst, United Kingdom</t>
        </is>
      </c>
      <c r="N994" t="inlineStr">
        <is>
          <t>2,600</t>
        </is>
      </c>
      <c r="O994" t="inlineStr">
        <is>
          <t>Commercial Real Estate</t>
        </is>
      </c>
      <c r="P994" t="inlineStr">
        <is>
          <t>estate agency,lettings,property investment</t>
        </is>
      </c>
      <c r="Q994" t="inlineStr">
        <is>
          <t>Not Found</t>
        </is>
      </c>
    </row>
    <row r="995">
      <c r="A995" t="inlineStr">
        <is>
          <t>60fb83045c6b6c00012630d7</t>
        </is>
      </c>
      <c r="B995" t="inlineStr">
        <is>
          <t>Kevin Shaw</t>
        </is>
      </c>
      <c r="C995">
        <f>HYPERLINK("http://www.linkedin.com/in/kevin-shaw-5a457619")</f>
        <v/>
      </c>
      <c r="D995" t="inlineStr">
        <is>
          <t>Not Found</t>
        </is>
      </c>
      <c r="E995" t="inlineStr">
        <is>
          <t>National Sales Managing Director</t>
        </is>
      </c>
      <c r="F995">
        <f>HYPERLINK("https://app.apollo.io/#/people/60fb83045c6b6c00012630d7")</f>
        <v/>
      </c>
      <c r="G995" t="inlineStr">
        <is>
          <t>Leaders Romans Group</t>
        </is>
      </c>
      <c r="H995">
        <f>HYPERLINK("https://app.apollo.io/#/accounts/6578b8bc85cede01ae5c466b")</f>
        <v/>
      </c>
      <c r="I995">
        <f>HYPERLINK("http://www.lrg.co.uk/")</f>
        <v/>
      </c>
      <c r="J995">
        <f>HYPERLINK("http://www.linkedin.com/company/leaders-romans-group")</f>
        <v/>
      </c>
      <c r="K995">
        <f>HYPERLINK("Not Found")</f>
        <v/>
      </c>
      <c r="L995">
        <f>HYPERLINK("Not Found")</f>
        <v/>
      </c>
      <c r="M995" t="inlineStr">
        <is>
          <t>Windlesham, United Kingdom</t>
        </is>
      </c>
      <c r="N995" t="inlineStr">
        <is>
          <t>2,600</t>
        </is>
      </c>
      <c r="O995" t="inlineStr">
        <is>
          <t>Commercial Real Estate</t>
        </is>
      </c>
      <c r="P995" t="inlineStr">
        <is>
          <t>estate agency,lettings,property investment</t>
        </is>
      </c>
      <c r="Q995" t="inlineStr">
        <is>
          <t>Not Found</t>
        </is>
      </c>
    </row>
    <row r="996">
      <c r="A996" t="inlineStr">
        <is>
          <t>608caa45c85b250001df8295</t>
        </is>
      </c>
      <c r="B996" t="inlineStr">
        <is>
          <t>Will Hayler</t>
        </is>
      </c>
      <c r="C996">
        <f>HYPERLINK("http://www.linkedin.com/in/willhayler4")</f>
        <v/>
      </c>
      <c r="D996" t="inlineStr">
        <is>
          <t>Not Found</t>
        </is>
      </c>
      <c r="E996" t="inlineStr">
        <is>
          <t>Director - Head of Facilities Management</t>
        </is>
      </c>
      <c r="F996">
        <f>HYPERLINK("https://app.apollo.io/#/people/608caa45c85b250001df8295")</f>
        <v/>
      </c>
      <c r="G996" t="inlineStr">
        <is>
          <t>Colliers</t>
        </is>
      </c>
      <c r="H996">
        <f>HYPERLINK("https://app.apollo.io/#/accounts/64aaf6c63d556a0001e8eda6")</f>
        <v/>
      </c>
      <c r="I996">
        <f>HYPERLINK("http://www.colliers.com/")</f>
        <v/>
      </c>
      <c r="J996">
        <f>HYPERLINK("http://www.linkedin.com/company/colliers")</f>
        <v/>
      </c>
      <c r="K996">
        <f>HYPERLINK("https://twitter.com/Colliers")</f>
        <v/>
      </c>
      <c r="L996">
        <f>HYPERLINK("https://facebook.com/colliersinternational/")</f>
        <v/>
      </c>
      <c r="M996" t="inlineStr">
        <is>
          <t>West End, United Kingdom</t>
        </is>
      </c>
      <c r="N996" t="inlineStr">
        <is>
          <t>25,000</t>
        </is>
      </c>
      <c r="O996" t="inlineStr">
        <is>
          <t>Commercial Real Estate</t>
        </is>
      </c>
      <c r="P996" t="inlineStr">
        <is>
          <t>brokerage &amp; agency,corporate solutions,investment services</t>
        </is>
      </c>
      <c r="Q996" t="inlineStr">
        <is>
          <t>Not Found</t>
        </is>
      </c>
    </row>
    <row r="997">
      <c r="A997" t="inlineStr">
        <is>
          <t>5fa247700129210001618e15</t>
        </is>
      </c>
      <c r="B997" t="inlineStr">
        <is>
          <t>Adam Wilkinson</t>
        </is>
      </c>
      <c r="C997">
        <f>HYPERLINK("http://www.linkedin.com/in/adam-wilkinson-63101713")</f>
        <v/>
      </c>
      <c r="D997" t="inlineStr">
        <is>
          <t>Not Found</t>
        </is>
      </c>
      <c r="E997" t="inlineStr">
        <is>
          <t>QHSE Director, Local | UK</t>
        </is>
      </c>
      <c r="F997">
        <f>HYPERLINK("https://app.apollo.io/#/people/5fa247700129210001618e15")</f>
        <v/>
      </c>
      <c r="G997" t="inlineStr">
        <is>
          <t>CBRE Global Workplace Solutions (GWS)</t>
        </is>
      </c>
      <c r="H997">
        <f>HYPERLINK("https://app.apollo.io/#/accounts/6509fed6f449800001b69a15")</f>
        <v/>
      </c>
      <c r="I997">
        <f>HYPERLINK("http://www.coor.com/")</f>
        <v/>
      </c>
      <c r="J997">
        <f>HYPERLINK("http://www.linkedin.com/company/cbre-gws")</f>
        <v/>
      </c>
      <c r="K997">
        <f>HYPERLINK("Not Found")</f>
        <v/>
      </c>
      <c r="L997">
        <f>HYPERLINK("Not Found")</f>
        <v/>
      </c>
      <c r="M997" t="inlineStr">
        <is>
          <t>Micheldever, United Kingdom</t>
        </is>
      </c>
      <c r="N997" t="inlineStr">
        <is>
          <t>15,000</t>
        </is>
      </c>
      <c r="O997" t="inlineStr">
        <is>
          <t>Commercial Real Estate</t>
        </is>
      </c>
      <c r="P997" t="inlineStr">
        <is>
          <t>project management,advisory,transaction services</t>
        </is>
      </c>
      <c r="Q997" t="inlineStr">
        <is>
          <t>Not Found</t>
        </is>
      </c>
    </row>
    <row r="998">
      <c r="A998" t="inlineStr">
        <is>
          <t>5f461e636844ff0001253a3b</t>
        </is>
      </c>
      <c r="B998" t="inlineStr">
        <is>
          <t>Rachel Edmunds</t>
        </is>
      </c>
      <c r="C998">
        <f>HYPERLINK("http://www.linkedin.com/in/rachel-edmunds-01279842")</f>
        <v/>
      </c>
      <c r="D998" t="inlineStr">
        <is>
          <t>Not Found</t>
        </is>
      </c>
      <c r="E998" t="inlineStr">
        <is>
          <t>Global Procurement Program Director</t>
        </is>
      </c>
      <c r="F998">
        <f>HYPERLINK("https://app.apollo.io/#/people/5f461e636844ff0001253a3b")</f>
        <v/>
      </c>
      <c r="G998" t="inlineStr">
        <is>
          <t>CBRE Global Workplace Solutions (GWS)</t>
        </is>
      </c>
      <c r="H998">
        <f>HYPERLINK("https://app.apollo.io/#/accounts/6509fed6f449800001b69a15")</f>
        <v/>
      </c>
      <c r="I998">
        <f>HYPERLINK("http://www.coor.com/")</f>
        <v/>
      </c>
      <c r="J998">
        <f>HYPERLINK("http://www.linkedin.com/company/cbre-gws")</f>
        <v/>
      </c>
      <c r="K998">
        <f>HYPERLINK("Not Found")</f>
        <v/>
      </c>
      <c r="L998">
        <f>HYPERLINK("Not Found")</f>
        <v/>
      </c>
      <c r="M998" t="inlineStr">
        <is>
          <t>London, United Kingdom</t>
        </is>
      </c>
      <c r="N998" t="inlineStr">
        <is>
          <t>15,000</t>
        </is>
      </c>
      <c r="O998" t="inlineStr">
        <is>
          <t>Commercial Real Estate</t>
        </is>
      </c>
      <c r="P998" t="inlineStr">
        <is>
          <t>project management,advisory,transaction services</t>
        </is>
      </c>
      <c r="Q998" t="inlineStr">
        <is>
          <t>Not Found</t>
        </is>
      </c>
    </row>
    <row r="999">
      <c r="A999" t="inlineStr">
        <is>
          <t>607972310885550001460717</t>
        </is>
      </c>
      <c r="B999" t="inlineStr">
        <is>
          <t>Simon Butterworth</t>
        </is>
      </c>
      <c r="C999">
        <f>HYPERLINK("http://www.linkedin.com/in/simonbutterworth")</f>
        <v/>
      </c>
      <c r="D999" t="inlineStr">
        <is>
          <t>Not Found</t>
        </is>
      </c>
      <c r="E999" t="inlineStr">
        <is>
          <t>Global QHSE Director - Projects</t>
        </is>
      </c>
      <c r="F999">
        <f>HYPERLINK("https://app.apollo.io/#/people/607972310885550001460717")</f>
        <v/>
      </c>
      <c r="G999" t="inlineStr">
        <is>
          <t>CBRE Global Workplace Solutions (GWS)</t>
        </is>
      </c>
      <c r="H999">
        <f>HYPERLINK("https://app.apollo.io/#/accounts/6509fed6f449800001b69a15")</f>
        <v/>
      </c>
      <c r="I999">
        <f>HYPERLINK("http://www.coor.com/")</f>
        <v/>
      </c>
      <c r="J999">
        <f>HYPERLINK("http://www.linkedin.com/company/cbre-gws")</f>
        <v/>
      </c>
      <c r="K999">
        <f>HYPERLINK("Not Found")</f>
        <v/>
      </c>
      <c r="L999">
        <f>HYPERLINK("Not Found")</f>
        <v/>
      </c>
      <c r="M999" t="inlineStr">
        <is>
          <t>United Kingdom</t>
        </is>
      </c>
      <c r="N999" t="inlineStr">
        <is>
          <t>15,000</t>
        </is>
      </c>
      <c r="O999" t="inlineStr">
        <is>
          <t>Commercial Real Estate</t>
        </is>
      </c>
      <c r="P999" t="inlineStr">
        <is>
          <t>project management,advisory,transaction services</t>
        </is>
      </c>
      <c r="Q999" t="inlineStr">
        <is>
          <t>Not Found</t>
        </is>
      </c>
    </row>
    <row r="1000">
      <c r="A1000" t="inlineStr">
        <is>
          <t>646e1edcfd32fd0001db45cb</t>
        </is>
      </c>
      <c r="B1000" t="inlineStr">
        <is>
          <t>Hayley Bushell</t>
        </is>
      </c>
      <c r="C1000">
        <f>HYPERLINK("http://www.linkedin.com/in/hayleybushellaus")</f>
        <v/>
      </c>
      <c r="D1000" t="inlineStr">
        <is>
          <t>Not Found</t>
        </is>
      </c>
      <c r="E1000" t="inlineStr">
        <is>
          <t>Director, Industrial | Marketing &amp; Communications</t>
        </is>
      </c>
      <c r="F1000">
        <f>HYPERLINK("https://app.apollo.io/#/people/646e1edcfd32fd0001db45cb")</f>
        <v/>
      </c>
      <c r="G1000" t="inlineStr">
        <is>
          <t>Colliers</t>
        </is>
      </c>
      <c r="H1000">
        <f>HYPERLINK("https://app.apollo.io/#/accounts/64aaf6c63d556a0001e8eda6")</f>
        <v/>
      </c>
      <c r="I1000">
        <f>HYPERLINK("http://www.colliers.com/")</f>
        <v/>
      </c>
      <c r="J1000">
        <f>HYPERLINK("http://www.linkedin.com/company/colliers")</f>
        <v/>
      </c>
      <c r="K1000">
        <f>HYPERLINK("https://twitter.com/Colliers")</f>
        <v/>
      </c>
      <c r="L1000">
        <f>HYPERLINK("https://facebook.com/colliersinternational/")</f>
        <v/>
      </c>
      <c r="M1000" t="inlineStr">
        <is>
          <t>United Kingdom</t>
        </is>
      </c>
      <c r="N1000" t="inlineStr">
        <is>
          <t>25,000</t>
        </is>
      </c>
      <c r="O1000" t="inlineStr">
        <is>
          <t>Commercial Real Estate</t>
        </is>
      </c>
      <c r="P1000" t="inlineStr">
        <is>
          <t>brokerage &amp; agency,corporate solutions</t>
        </is>
      </c>
      <c r="Q1000" t="inlineStr">
        <is>
          <t>Not Found</t>
        </is>
      </c>
    </row>
    <row r="1001">
      <c r="A1001" t="inlineStr">
        <is>
          <t>54a4e2b97468693b8c8e166b</t>
        </is>
      </c>
      <c r="B1001" t="inlineStr">
        <is>
          <t>Georgia Pirbhai</t>
        </is>
      </c>
      <c r="C1001">
        <f>HYPERLINK("http://www.linkedin.com/in/georgiapirbhai")</f>
        <v/>
      </c>
      <c r="D1001" t="inlineStr">
        <is>
          <t>Not Found</t>
        </is>
      </c>
      <c r="E1001" t="inlineStr">
        <is>
          <t>Associate Director - Industrial &amp; Logistics</t>
        </is>
      </c>
      <c r="F1001">
        <f>HYPERLINK("https://app.apollo.io/#/people/54a4e2b97468693b8c8e166b")</f>
        <v/>
      </c>
      <c r="G1001" t="inlineStr">
        <is>
          <t>Colliers</t>
        </is>
      </c>
      <c r="H1001">
        <f>HYPERLINK("https://app.apollo.io/#/accounts/64aaf6c63d556a0001e8eda6")</f>
        <v/>
      </c>
      <c r="I1001">
        <f>HYPERLINK("http://www.colliers.com/")</f>
        <v/>
      </c>
      <c r="J1001">
        <f>HYPERLINK("http://www.linkedin.com/company/colliers")</f>
        <v/>
      </c>
      <c r="K1001">
        <f>HYPERLINK("https://twitter.com/Colliers")</f>
        <v/>
      </c>
      <c r="L1001">
        <f>HYPERLINK("https://facebook.com/colliersinternational/")</f>
        <v/>
      </c>
      <c r="M1001" t="inlineStr">
        <is>
          <t>London, United Kingdom</t>
        </is>
      </c>
      <c r="N1001" t="inlineStr">
        <is>
          <t>25,000</t>
        </is>
      </c>
      <c r="O1001" t="inlineStr">
        <is>
          <t>Commercial Real Estate</t>
        </is>
      </c>
      <c r="P1001" t="inlineStr">
        <is>
          <t>brokerage &amp; agency,corporate solutions</t>
        </is>
      </c>
      <c r="Q1001" t="inlineStr">
        <is>
          <t>Not Found</t>
        </is>
      </c>
    </row>
    <row r="1002">
      <c r="A1002" t="inlineStr">
        <is>
          <t>605df4a26f88290001ced615</t>
        </is>
      </c>
      <c r="B1002" t="inlineStr">
        <is>
          <t>Rui Ventura</t>
        </is>
      </c>
      <c r="C1002">
        <f>HYPERLINK("http://www.linkedin.com/in/rui-ventura-5321a57")</f>
        <v/>
      </c>
      <c r="D1002" t="inlineStr">
        <is>
          <t>Not Found</t>
        </is>
      </c>
      <c r="E1002" t="inlineStr">
        <is>
          <t>International Executive Director - People</t>
        </is>
      </c>
      <c r="F1002">
        <f>HYPERLINK("https://app.apollo.io/#/people/605df4a26f88290001ced615")</f>
        <v/>
      </c>
      <c r="G1002" t="inlineStr">
        <is>
          <t>CBRE Global Workplace Solutions (GWS)</t>
        </is>
      </c>
      <c r="H1002">
        <f>HYPERLINK("https://app.apollo.io/#/accounts/6509fed6f449800001b69a15")</f>
        <v/>
      </c>
      <c r="I1002">
        <f>HYPERLINK("http://www.coor.com/")</f>
        <v/>
      </c>
      <c r="J1002">
        <f>HYPERLINK("http://www.linkedin.com/company/cbre-gws")</f>
        <v/>
      </c>
      <c r="K1002">
        <f>HYPERLINK("Not Found")</f>
        <v/>
      </c>
      <c r="L1002">
        <f>HYPERLINK("Not Found")</f>
        <v/>
      </c>
      <c r="M1002" t="inlineStr">
        <is>
          <t>London, United Kingdom</t>
        </is>
      </c>
      <c r="N1002" t="inlineStr">
        <is>
          <t>15,000</t>
        </is>
      </c>
      <c r="O1002" t="inlineStr">
        <is>
          <t>Commercial Real Estate</t>
        </is>
      </c>
      <c r="P1002" t="inlineStr">
        <is>
          <t>project management,advisory,transaction services</t>
        </is>
      </c>
      <c r="Q1002" t="inlineStr">
        <is>
          <t>Not Found</t>
        </is>
      </c>
    </row>
    <row r="1003">
      <c r="A1003" t="inlineStr">
        <is>
          <t>55dc37faf3e5bb0b31002b08</t>
        </is>
      </c>
      <c r="B1003" t="inlineStr">
        <is>
          <t>Paul Akehurst</t>
        </is>
      </c>
      <c r="C1003">
        <f>HYPERLINK("http://www.linkedin.com/in/paul-akehurst-40190246")</f>
        <v/>
      </c>
      <c r="D1003" t="inlineStr">
        <is>
          <t>Not Found</t>
        </is>
      </c>
      <c r="E1003" t="inlineStr">
        <is>
          <t>Divisional Director Energy &amp; Sustainability</t>
        </is>
      </c>
      <c r="F1003">
        <f>HYPERLINK("https://app.apollo.io/#/people/55dc37faf3e5bb0b31002b08")</f>
        <v/>
      </c>
      <c r="G1003" t="inlineStr">
        <is>
          <t>CBRE Global Workplace Solutions (GWS)</t>
        </is>
      </c>
      <c r="H1003">
        <f>HYPERLINK("https://app.apollo.io/#/accounts/6509fed6f449800001b69a15")</f>
        <v/>
      </c>
      <c r="I1003">
        <f>HYPERLINK("http://www.coor.com/")</f>
        <v/>
      </c>
      <c r="J1003">
        <f>HYPERLINK("http://www.linkedin.com/company/cbre-gws")</f>
        <v/>
      </c>
      <c r="K1003">
        <f>HYPERLINK("Not Found")</f>
        <v/>
      </c>
      <c r="L1003">
        <f>HYPERLINK("Not Found")</f>
        <v/>
      </c>
      <c r="M1003" t="inlineStr">
        <is>
          <t>London, United Kingdom</t>
        </is>
      </c>
      <c r="N1003" t="inlineStr">
        <is>
          <t>15,000</t>
        </is>
      </c>
      <c r="O1003" t="inlineStr">
        <is>
          <t>Commercial Real Estate</t>
        </is>
      </c>
      <c r="P1003" t="inlineStr">
        <is>
          <t>project management,advisory,transaction services</t>
        </is>
      </c>
      <c r="Q1003" t="inlineStr">
        <is>
          <t>Not Found</t>
        </is>
      </c>
    </row>
    <row r="1004">
      <c r="A1004" t="inlineStr">
        <is>
          <t>63a680e78d1cd90001c0e04c</t>
        </is>
      </c>
      <c r="B1004" t="inlineStr">
        <is>
          <t>Susan Charles</t>
        </is>
      </c>
      <c r="C1004">
        <f>HYPERLINK("http://www.linkedin.com/in/susan-charles-847a4371")</f>
        <v/>
      </c>
      <c r="D1004" t="inlineStr">
        <is>
          <t>Not Found</t>
        </is>
      </c>
      <c r="E1004" t="inlineStr">
        <is>
          <t>PA to Sales Director</t>
        </is>
      </c>
      <c r="F1004">
        <f>HYPERLINK("https://app.apollo.io/#/people/63a680e78d1cd90001c0e04c")</f>
        <v/>
      </c>
      <c r="G1004" t="inlineStr">
        <is>
          <t>Cameron</t>
        </is>
      </c>
      <c r="H1004">
        <f>HYPERLINK("https://app.apollo.io/#/organizations/57c505e6a6da986a07d2c381")</f>
        <v/>
      </c>
      <c r="I1004">
        <f>HYPERLINK("http://www.cameron.com.au/")</f>
        <v/>
      </c>
      <c r="J1004">
        <f>HYPERLINK("http://www.linkedin.com/company/cameron-industrial-commercial")</f>
        <v/>
      </c>
      <c r="K1004">
        <f>HYPERLINK("Not Found")</f>
        <v/>
      </c>
      <c r="L1004">
        <f>HYPERLINK("https://www.facebook.com/cameron.commercial")</f>
        <v/>
      </c>
      <c r="M1004" t="inlineStr">
        <is>
          <t>Weybridge, United Kingdom</t>
        </is>
      </c>
      <c r="N1004" t="inlineStr">
        <is>
          <t>87</t>
        </is>
      </c>
      <c r="O1004" t="inlineStr">
        <is>
          <t>Commercial Real Estate</t>
        </is>
      </c>
      <c r="P1004" t="inlineStr">
        <is>
          <t>commercial real estate,property management</t>
        </is>
      </c>
      <c r="Q1004" t="inlineStr">
        <is>
          <t>Not Found</t>
        </is>
      </c>
    </row>
    <row r="1005">
      <c r="A1005" t="inlineStr">
        <is>
          <t>54a21a6c74686930c254f00c</t>
        </is>
      </c>
      <c r="B1005" t="inlineStr">
        <is>
          <t>James Preston</t>
        </is>
      </c>
      <c r="C1005">
        <f>HYPERLINK("http://www.linkedin.com/in/james-preston-aa414638")</f>
        <v/>
      </c>
      <c r="D1005" t="inlineStr">
        <is>
          <t>Not Found</t>
        </is>
      </c>
      <c r="E1005" t="inlineStr">
        <is>
          <t>Director, National Capital Markets</t>
        </is>
      </c>
      <c r="F1005">
        <f>HYPERLINK("https://app.apollo.io/#/people/54a21a6c74686930c254f00c")</f>
        <v/>
      </c>
      <c r="G1005" t="inlineStr">
        <is>
          <t>Colliers</t>
        </is>
      </c>
      <c r="H1005">
        <f>HYPERLINK("https://app.apollo.io/#/accounts/64aaf6c63d556a0001e8eda6")</f>
        <v/>
      </c>
      <c r="I1005">
        <f>HYPERLINK("http://www.colliers.com/")</f>
        <v/>
      </c>
      <c r="J1005">
        <f>HYPERLINK("http://www.linkedin.com/company/colliers")</f>
        <v/>
      </c>
      <c r="K1005">
        <f>HYPERLINK("https://twitter.com/Colliers")</f>
        <v/>
      </c>
      <c r="L1005">
        <f>HYPERLINK("https://facebook.com/colliersinternational/")</f>
        <v/>
      </c>
      <c r="M1005" t="inlineStr">
        <is>
          <t>Manchester, United Kingdom</t>
        </is>
      </c>
      <c r="N1005" t="inlineStr">
        <is>
          <t>25,000</t>
        </is>
      </c>
      <c r="O1005" t="inlineStr">
        <is>
          <t>Commercial Real Estate</t>
        </is>
      </c>
      <c r="P1005" t="inlineStr">
        <is>
          <t>brokerage &amp; agency,corporate solutions</t>
        </is>
      </c>
      <c r="Q1005" t="inlineStr">
        <is>
          <t>Not Found</t>
        </is>
      </c>
    </row>
    <row r="1006">
      <c r="A1006" t="inlineStr">
        <is>
          <t>5e83c1eff4bfcc0001c37619</t>
        </is>
      </c>
      <c r="B1006" t="inlineStr">
        <is>
          <t>Laurence Edwards</t>
        </is>
      </c>
      <c r="C1006">
        <f>HYPERLINK("http://www.linkedin.com/in/laurence-edwards-3a6a3b28")</f>
        <v/>
      </c>
      <c r="D1006" t="inlineStr">
        <is>
          <t>Not Found</t>
        </is>
      </c>
      <c r="E1006" t="inlineStr">
        <is>
          <t>Director Out of Town Retail</t>
        </is>
      </c>
      <c r="F1006">
        <f>HYPERLINK("https://app.apollo.io/#/people/5e83c1eff4bfcc0001c37619")</f>
        <v/>
      </c>
      <c r="G1006" t="inlineStr">
        <is>
          <t>Colliers</t>
        </is>
      </c>
      <c r="H1006">
        <f>HYPERLINK("https://app.apollo.io/#/accounts/64aaf6c63d556a0001e8eda6")</f>
        <v/>
      </c>
      <c r="I1006">
        <f>HYPERLINK("http://www.colliers.com/")</f>
        <v/>
      </c>
      <c r="J1006">
        <f>HYPERLINK("http://www.linkedin.com/company/colliers")</f>
        <v/>
      </c>
      <c r="K1006">
        <f>HYPERLINK("https://twitter.com/Colliers")</f>
        <v/>
      </c>
      <c r="L1006">
        <f>HYPERLINK("https://facebook.com/colliersinternational/")</f>
        <v/>
      </c>
      <c r="M1006" t="inlineStr">
        <is>
          <t>United Kingdom</t>
        </is>
      </c>
      <c r="N1006" t="inlineStr">
        <is>
          <t>25,000</t>
        </is>
      </c>
      <c r="O1006" t="inlineStr">
        <is>
          <t>Commercial Real Estate</t>
        </is>
      </c>
      <c r="P1006" t="inlineStr">
        <is>
          <t>brokerage &amp; agency,corporate solutions</t>
        </is>
      </c>
      <c r="Q1006" t="inlineStr">
        <is>
          <t>Not Found</t>
        </is>
      </c>
    </row>
    <row r="1007">
      <c r="A1007" t="inlineStr">
        <is>
          <t>54c1a9397468691639eb9631</t>
        </is>
      </c>
      <c r="B1007" t="inlineStr">
        <is>
          <t>Oliver Kolodseike</t>
        </is>
      </c>
      <c r="C1007">
        <f>HYPERLINK("http://www.linkedin.com/in/oliver-kolodseike-b6518855")</f>
        <v/>
      </c>
      <c r="D1007" t="inlineStr">
        <is>
          <t>Not Found</t>
        </is>
      </c>
      <c r="E1007" t="inlineStr">
        <is>
          <t>Director and Head of Economic Research</t>
        </is>
      </c>
      <c r="F1007">
        <f>HYPERLINK("https://app.apollo.io/#/people/54c1a9397468691639eb9631")</f>
        <v/>
      </c>
      <c r="G1007" t="inlineStr">
        <is>
          <t>Colliers</t>
        </is>
      </c>
      <c r="H1007">
        <f>HYPERLINK("https://app.apollo.io/#/accounts/64aaf6c63d556a0001e8eda6")</f>
        <v/>
      </c>
      <c r="I1007">
        <f>HYPERLINK("http://www.colliers.com/")</f>
        <v/>
      </c>
      <c r="J1007">
        <f>HYPERLINK("http://www.linkedin.com/company/colliers")</f>
        <v/>
      </c>
      <c r="K1007">
        <f>HYPERLINK("https://twitter.com/Colliers")</f>
        <v/>
      </c>
      <c r="L1007">
        <f>HYPERLINK("https://facebook.com/colliersinternational/")</f>
        <v/>
      </c>
      <c r="M1007" t="inlineStr">
        <is>
          <t>London, United Kingdom</t>
        </is>
      </c>
      <c r="N1007" t="inlineStr">
        <is>
          <t>25,000</t>
        </is>
      </c>
      <c r="O1007" t="inlineStr">
        <is>
          <t>Commercial Real Estate</t>
        </is>
      </c>
      <c r="P1007" t="inlineStr">
        <is>
          <t>brokerage &amp; agency,corporate solutions</t>
        </is>
      </c>
      <c r="Q1007" t="inlineStr">
        <is>
          <t>Not Found</t>
        </is>
      </c>
    </row>
    <row r="1008">
      <c r="A1008" t="inlineStr">
        <is>
          <t>54a3bdec74686934421b1e0f</t>
        </is>
      </c>
      <c r="B1008" t="inlineStr">
        <is>
          <t>Tristan McGee</t>
        </is>
      </c>
      <c r="C1008">
        <f>HYPERLINK("http://www.linkedin.com/in/dr-tristan-paul-mcgee-2034a288")</f>
        <v/>
      </c>
      <c r="D1008" t="inlineStr">
        <is>
          <t>Not Found</t>
        </is>
      </c>
      <c r="E1008" t="inlineStr">
        <is>
          <t>Director - Operational Risk Management</t>
        </is>
      </c>
      <c r="F1008">
        <f>HYPERLINK("https://app.apollo.io/#/people/54a3bdec74686934421b1e0f")</f>
        <v/>
      </c>
      <c r="G1008" t="inlineStr">
        <is>
          <t>Artenis</t>
        </is>
      </c>
      <c r="H1008">
        <f>HYPERLINK("https://app.apollo.io/#/organizations/556d7dc37369641276071e01")</f>
        <v/>
      </c>
      <c r="I1008">
        <f>HYPERLINK("http://www.artenisgroup.com/")</f>
        <v/>
      </c>
      <c r="J1008">
        <f>HYPERLINK("http://www.linkedin.com/company/artenis")</f>
        <v/>
      </c>
      <c r="K1008">
        <f>HYPERLINK("Not Found")</f>
        <v/>
      </c>
      <c r="L1008">
        <f>HYPERLINK("Not Found")</f>
        <v/>
      </c>
      <c r="M1008" t="inlineStr">
        <is>
          <t>Watermillock, United Kingdom</t>
        </is>
      </c>
      <c r="N1008" t="inlineStr">
        <is>
          <t>2</t>
        </is>
      </c>
      <c r="O1008" t="inlineStr">
        <is>
          <t>Commercial Real Estate</t>
        </is>
      </c>
      <c r="P1008" t="inlineStr">
        <is>
          <t>operational risk management orm,procurement distribution</t>
        </is>
      </c>
      <c r="Q1008" t="inlineStr">
        <is>
          <t>Not Found</t>
        </is>
      </c>
    </row>
    <row r="1009">
      <c r="A1009" t="inlineStr">
        <is>
          <t>643e4cbb48bae70001bb2227</t>
        </is>
      </c>
      <c r="B1009" t="inlineStr">
        <is>
          <t>Dan Fraser</t>
        </is>
      </c>
      <c r="C1009">
        <f>HYPERLINK("http://www.linkedin.com/in/dan-fraser-b166a399")</f>
        <v/>
      </c>
      <c r="D1009" t="inlineStr">
        <is>
          <t>Not Found</t>
        </is>
      </c>
      <c r="E1009" t="inlineStr">
        <is>
          <t>QHSE Director - DCS Europe</t>
        </is>
      </c>
      <c r="F1009">
        <f>HYPERLINK("https://app.apollo.io/#/people/643e4cbb48bae70001bb2227")</f>
        <v/>
      </c>
      <c r="G1009" t="inlineStr">
        <is>
          <t>CBRE Global Workplace Solutions (GWS)</t>
        </is>
      </c>
      <c r="H1009">
        <f>HYPERLINK("https://app.apollo.io/#/accounts/6509fed6f449800001b69a15")</f>
        <v/>
      </c>
      <c r="I1009">
        <f>HYPERLINK("http://www.coor.com/")</f>
        <v/>
      </c>
      <c r="J1009">
        <f>HYPERLINK("http://www.linkedin.com/company/cbre-gws")</f>
        <v/>
      </c>
      <c r="K1009">
        <f>HYPERLINK("Not Found")</f>
        <v/>
      </c>
      <c r="L1009">
        <f>HYPERLINK("Not Found")</f>
        <v/>
      </c>
      <c r="M1009" t="inlineStr">
        <is>
          <t>London, United Kingdom</t>
        </is>
      </c>
      <c r="N1009" t="inlineStr">
        <is>
          <t>15,000</t>
        </is>
      </c>
      <c r="O1009" t="inlineStr">
        <is>
          <t>Commercial Real Estate</t>
        </is>
      </c>
      <c r="P1009" t="inlineStr">
        <is>
          <t>project management,advisory,transaction services</t>
        </is>
      </c>
      <c r="Q1009" t="inlineStr">
        <is>
          <t>Not Found</t>
        </is>
      </c>
    </row>
    <row r="1010">
      <c r="A1010" t="inlineStr">
        <is>
          <t>5b89af04324d4433e6b5e52e</t>
        </is>
      </c>
      <c r="B1010" t="inlineStr">
        <is>
          <t>Andy Jones</t>
        </is>
      </c>
      <c r="C1010">
        <f>HYPERLINK("http://www.linkedin.com/in/andy-jones-b683a219")</f>
        <v/>
      </c>
      <c r="D1010" t="inlineStr">
        <is>
          <t>Not Found</t>
        </is>
      </c>
      <c r="E1010" t="inlineStr">
        <is>
          <t>Group Director Corporate &amp; BTR</t>
        </is>
      </c>
      <c r="F1010">
        <f>HYPERLINK("https://app.apollo.io/#/people/5b89af04324d4433e6b5e52e")</f>
        <v/>
      </c>
      <c r="G1010" t="inlineStr">
        <is>
          <t>Leaders Romans Group</t>
        </is>
      </c>
      <c r="H1010">
        <f>HYPERLINK("https://app.apollo.io/#/accounts/6578b8bc85cede01ae5c466b")</f>
        <v/>
      </c>
      <c r="I1010">
        <f>HYPERLINK("http://www.lrg.co.uk/")</f>
        <v/>
      </c>
      <c r="J1010">
        <f>HYPERLINK("http://www.linkedin.com/company/leaders-romans-group")</f>
        <v/>
      </c>
      <c r="K1010">
        <f>HYPERLINK("Not Found")</f>
        <v/>
      </c>
      <c r="L1010">
        <f>HYPERLINK("Not Found")</f>
        <v/>
      </c>
      <c r="M1010" t="inlineStr">
        <is>
          <t>United Kingdom</t>
        </is>
      </c>
      <c r="N1010" t="inlineStr">
        <is>
          <t>2,600</t>
        </is>
      </c>
      <c r="O1010" t="inlineStr">
        <is>
          <t>Commercial Real Estate</t>
        </is>
      </c>
      <c r="P1010" t="inlineStr">
        <is>
          <t>estate agency,lettings,property investment</t>
        </is>
      </c>
      <c r="Q1010" t="inlineStr">
        <is>
          <t>Not Found</t>
        </is>
      </c>
    </row>
    <row r="1011">
      <c r="A1011" t="inlineStr">
        <is>
          <t>54a5f2227468693442e38bb5</t>
        </is>
      </c>
      <c r="B1011" t="inlineStr">
        <is>
          <t>Simon Jobson</t>
        </is>
      </c>
      <c r="C1011">
        <f>HYPERLINK("http://www.linkedin.com/in/simon-jobson-28482223")</f>
        <v/>
      </c>
      <c r="D1011" t="inlineStr">
        <is>
          <t>Not Found</t>
        </is>
      </c>
      <c r="E1011" t="inlineStr">
        <is>
          <t>Director - Corporate Services &amp; ESG</t>
        </is>
      </c>
      <c r="F1011">
        <f>HYPERLINK("https://app.apollo.io/#/people/54a5f2227468693442e38bb5")</f>
        <v/>
      </c>
      <c r="G1011" t="inlineStr">
        <is>
          <t>Cobalt Recruitment</t>
        </is>
      </c>
      <c r="H1011">
        <f>HYPERLINK("https://app.apollo.io/#/accounts/6578bcb206d0c302d071126c")</f>
        <v/>
      </c>
      <c r="I1011">
        <f>HYPERLINK("http://www.cobaltrecruitment.co.uk/")</f>
        <v/>
      </c>
      <c r="J1011">
        <f>HYPERLINK("http://www.linkedin.com/company/cobalt-recruitment")</f>
        <v/>
      </c>
      <c r="K1011">
        <f>HYPERLINK("https://twitter.com/CobaltRecruit")</f>
        <v/>
      </c>
      <c r="L1011">
        <f>HYPERLINK("https://www.facebook.com/cobaltrecruitment/")</f>
        <v/>
      </c>
      <c r="M1011" t="inlineStr">
        <is>
          <t>London, United Kingdom</t>
        </is>
      </c>
      <c r="N1011" t="inlineStr">
        <is>
          <t>130</t>
        </is>
      </c>
      <c r="O1011" t="inlineStr">
        <is>
          <t>Commercial Real Estate</t>
        </is>
      </c>
      <c r="P1011" t="inlineStr">
        <is>
          <t>accounting,real estate,infrastructure</t>
        </is>
      </c>
      <c r="Q1011" t="inlineStr">
        <is>
          <t>Not Found</t>
        </is>
      </c>
    </row>
    <row r="1012">
      <c r="A1012" t="inlineStr">
        <is>
          <t>57da3322a6da985495c99c01</t>
        </is>
      </c>
      <c r="B1012" t="inlineStr">
        <is>
          <t>Charles Bruinvels</t>
        </is>
      </c>
      <c r="C1012">
        <f>HYPERLINK("http://www.linkedin.com/in/charlesbruinvels")</f>
        <v/>
      </c>
      <c r="D1012" t="inlineStr">
        <is>
          <t>Not Found</t>
        </is>
      </c>
      <c r="E1012" t="inlineStr">
        <is>
          <t>Director of Environmental Technical Services</t>
        </is>
      </c>
      <c r="F1012">
        <f>HYPERLINK("https://app.apollo.io/#/people/57da3322a6da985495c99c01")</f>
        <v/>
      </c>
      <c r="G1012" t="inlineStr">
        <is>
          <t>Colliers</t>
        </is>
      </c>
      <c r="H1012">
        <f>HYPERLINK("https://app.apollo.io/#/accounts/6578c2e248f92e02cc97a7cd")</f>
        <v/>
      </c>
      <c r="I1012">
        <f>HYPERLINK("http://www.colliers.com/")</f>
        <v/>
      </c>
      <c r="J1012">
        <f>HYPERLINK("http://www.linkedin.com/company/colliers")</f>
        <v/>
      </c>
      <c r="K1012">
        <f>HYPERLINK("https://twitter.com/collierscanada")</f>
        <v/>
      </c>
      <c r="L1012">
        <f>HYPERLINK("Not Found")</f>
        <v/>
      </c>
      <c r="M1012" t="inlineStr">
        <is>
          <t>United Kingdom</t>
        </is>
      </c>
      <c r="N1012" t="inlineStr">
        <is>
          <t>25,000</t>
        </is>
      </c>
      <c r="O1012" t="inlineStr">
        <is>
          <t>Commercial Real Estate</t>
        </is>
      </c>
      <c r="P1012" t="inlineStr">
        <is>
          <t>brokerage &amp; agency,corporate solutions</t>
        </is>
      </c>
      <c r="Q1012" t="inlineStr">
        <is>
          <t>Not Found</t>
        </is>
      </c>
    </row>
    <row r="1013">
      <c r="A1013" t="inlineStr">
        <is>
          <t>54a5ff1a7468693b8c841dba</t>
        </is>
      </c>
      <c r="B1013" t="inlineStr">
        <is>
          <t>Mick Saltzer</t>
        </is>
      </c>
      <c r="C1013">
        <f>HYPERLINK("http://www.linkedin.com/in/mick-saltzer-74aa7113")</f>
        <v/>
      </c>
      <c r="D1013" t="inlineStr">
        <is>
          <t>Not Found</t>
        </is>
      </c>
      <c r="E1013" t="inlineStr">
        <is>
          <t>Regional Technical Services Director</t>
        </is>
      </c>
      <c r="F1013">
        <f>HYPERLINK("https://app.apollo.io/#/people/54a5ff1a7468693b8c841dba")</f>
        <v/>
      </c>
      <c r="G1013" t="inlineStr">
        <is>
          <t>CBRE Global Workplace Solutions (GWS)</t>
        </is>
      </c>
      <c r="H1013">
        <f>HYPERLINK("https://app.apollo.io/#/accounts/6509fed6f449800001b69a15")</f>
        <v/>
      </c>
      <c r="I1013">
        <f>HYPERLINK("http://www.coor.com/")</f>
        <v/>
      </c>
      <c r="J1013">
        <f>HYPERLINK("http://www.linkedin.com/company/cbre-gws")</f>
        <v/>
      </c>
      <c r="K1013">
        <f>HYPERLINK("Not Found")</f>
        <v/>
      </c>
      <c r="L1013">
        <f>HYPERLINK("Not Found")</f>
        <v/>
      </c>
      <c r="M1013" t="inlineStr">
        <is>
          <t>Fairlight, United Kingdom</t>
        </is>
      </c>
      <c r="N1013" t="inlineStr">
        <is>
          <t>15,000</t>
        </is>
      </c>
      <c r="O1013" t="inlineStr">
        <is>
          <t>Commercial Real Estate</t>
        </is>
      </c>
      <c r="P1013" t="inlineStr">
        <is>
          <t>project management,advisory,transaction services</t>
        </is>
      </c>
      <c r="Q1013" t="inlineStr">
        <is>
          <t>Not Found</t>
        </is>
      </c>
    </row>
    <row r="1014">
      <c r="A1014" t="inlineStr">
        <is>
          <t>6578c0871823b203f32f0d1a</t>
        </is>
      </c>
      <c r="B1014" t="inlineStr">
        <is>
          <t>David Cocola</t>
        </is>
      </c>
      <c r="C1014">
        <f>HYPERLINK("http://www.linkedin.com/in/david-cocola-72921813")</f>
        <v/>
      </c>
      <c r="D1014" t="inlineStr">
        <is>
          <t>Not Found</t>
        </is>
      </c>
      <c r="E1014" t="inlineStr">
        <is>
          <t>Vice President, Director of Property Managment</t>
        </is>
      </c>
      <c r="F1014">
        <f>HYPERLINK("https://app.apollo.io/#/contacts/6578c0871823b203f32f0d1a")</f>
        <v/>
      </c>
      <c r="G1014" t="inlineStr">
        <is>
          <t>INDUS Realty Trust, Inc.</t>
        </is>
      </c>
      <c r="H1014">
        <f>HYPERLINK("https://app.apollo.io/#/accounts/6578c0871823b203f32f0d1c")</f>
        <v/>
      </c>
      <c r="I1014">
        <f>HYPERLINK("http://www.indusrt.com/")</f>
        <v/>
      </c>
      <c r="J1014">
        <f>HYPERLINK("http://www.linkedin.com/company/indus-realty-trust-inc")</f>
        <v/>
      </c>
      <c r="K1014">
        <f>HYPERLINK("https://twitter.com/indusrt")</f>
        <v/>
      </c>
      <c r="L1014">
        <f>HYPERLINK("Not Found")</f>
        <v/>
      </c>
      <c r="M1014" t="inlineStr">
        <is>
          <t>London, United Kingdom</t>
        </is>
      </c>
      <c r="N1014" t="inlineStr">
        <is>
          <t>50</t>
        </is>
      </c>
      <c r="O1014" t="inlineStr">
        <is>
          <t>Commercial Real Estate</t>
        </is>
      </c>
      <c r="P1014" t="inlineStr">
        <is>
          <t>industrial real estate developer,industrial</t>
        </is>
      </c>
      <c r="Q1014" t="inlineStr">
        <is>
          <t>(860)-243-4017</t>
        </is>
      </c>
    </row>
    <row r="1015">
      <c r="A1015" t="inlineStr">
        <is>
          <t>63d6e630a6f6a400011d0ce7</t>
        </is>
      </c>
      <c r="B1015" t="inlineStr">
        <is>
          <t>Alexis Muller</t>
        </is>
      </c>
      <c r="C1015">
        <f>HYPERLINK("http://www.linkedin.com/in/alexismuller1")</f>
        <v/>
      </c>
      <c r="D1015" t="inlineStr">
        <is>
          <t>Not Found</t>
        </is>
      </c>
      <c r="E1015" t="inlineStr">
        <is>
          <t>Associate Director | Investments - Europe</t>
        </is>
      </c>
      <c r="F1015">
        <f>HYPERLINK("https://app.apollo.io/#/people/63d6e630a6f6a400011d0ce7")</f>
        <v/>
      </c>
      <c r="G1015" t="inlineStr">
        <is>
          <t>Oxford Properties Group</t>
        </is>
      </c>
      <c r="H1015">
        <f>HYPERLINK("https://app.apollo.io/#/organizations/54a13c1d69702d267a40c301")</f>
        <v/>
      </c>
      <c r="I1015">
        <f>HYPERLINK("http://www.oxfordproperties.com/")</f>
        <v/>
      </c>
      <c r="J1015">
        <f>HYPERLINK("http://www.linkedin.com/company/oxford-properties-group")</f>
        <v/>
      </c>
      <c r="K1015">
        <f>HYPERLINK("https://twitter.com/oxfordpropgrp")</f>
        <v/>
      </c>
      <c r="L1015">
        <f>HYPERLINK("https://facebook.com/Oxford-Properties-Group-144027735748216/")</f>
        <v/>
      </c>
      <c r="M1015" t="inlineStr">
        <is>
          <t>London, United Kingdom</t>
        </is>
      </c>
      <c r="N1015" t="inlineStr">
        <is>
          <t>1,700</t>
        </is>
      </c>
      <c r="O1015" t="inlineStr">
        <is>
          <t>Commercial Real Estate</t>
        </is>
      </c>
      <c r="P1015" t="inlineStr">
        <is>
          <t>real estate,development,investment</t>
        </is>
      </c>
      <c r="Q1015" t="inlineStr">
        <is>
          <t>Not Found</t>
        </is>
      </c>
    </row>
    <row r="1016">
      <c r="A1016" t="inlineStr">
        <is>
          <t>5ae5f9f6a6da98d3356dbe0c</t>
        </is>
      </c>
      <c r="B1016" t="inlineStr">
        <is>
          <t>David Hutchinson</t>
        </is>
      </c>
      <c r="C1016">
        <f>HYPERLINK("http://www.linkedin.com/in/david-hutchinson-63b7139b")</f>
        <v/>
      </c>
      <c r="D1016" t="inlineStr">
        <is>
          <t>Not Found</t>
        </is>
      </c>
      <c r="E1016" t="inlineStr">
        <is>
          <t>Land &amp; Planning Director - Head</t>
        </is>
      </c>
      <c r="F1016">
        <f>HYPERLINK("https://app.apollo.io/#/people/5ae5f9f6a6da98d3356dbe0c")</f>
        <v/>
      </c>
      <c r="G1016" t="inlineStr">
        <is>
          <t>Leaders Romans Group</t>
        </is>
      </c>
      <c r="H1016">
        <f>HYPERLINK("https://app.apollo.io/#/accounts/6578b8bc85cede01ae5c466b")</f>
        <v/>
      </c>
      <c r="I1016">
        <f>HYPERLINK("http://www.lrg.co.uk/")</f>
        <v/>
      </c>
      <c r="J1016">
        <f>HYPERLINK("http://www.linkedin.com/company/leaders-romans-group")</f>
        <v/>
      </c>
      <c r="K1016">
        <f>HYPERLINK("Not Found")</f>
        <v/>
      </c>
      <c r="L1016">
        <f>HYPERLINK("Not Found")</f>
        <v/>
      </c>
      <c r="M1016" t="inlineStr">
        <is>
          <t>England, United Kingdom</t>
        </is>
      </c>
      <c r="N1016" t="inlineStr">
        <is>
          <t>2,600</t>
        </is>
      </c>
      <c r="O1016" t="inlineStr">
        <is>
          <t>Commercial Real Estate</t>
        </is>
      </c>
      <c r="P1016" t="inlineStr">
        <is>
          <t>estate agency,lettings,property investment</t>
        </is>
      </c>
      <c r="Q1016" t="inlineStr">
        <is>
          <t>Not Found</t>
        </is>
      </c>
    </row>
    <row r="1017">
      <c r="A1017" t="inlineStr">
        <is>
          <t>57d4f262a6da98537200fd51</t>
        </is>
      </c>
      <c r="B1017" t="inlineStr">
        <is>
          <t>Joanne Jackson</t>
        </is>
      </c>
      <c r="C1017">
        <f>HYPERLINK("http://www.linkedin.com/in/joanne-jackson-029ba7114")</f>
        <v/>
      </c>
      <c r="D1017" t="inlineStr">
        <is>
          <t>Not Found</t>
        </is>
      </c>
      <c r="E1017" t="inlineStr">
        <is>
          <t>Group Lettings Operations Director</t>
        </is>
      </c>
      <c r="F1017">
        <f>HYPERLINK("https://app.apollo.io/#/people/57d4f262a6da98537200fd51")</f>
        <v/>
      </c>
      <c r="G1017" t="inlineStr">
        <is>
          <t>Leaders Romans Group</t>
        </is>
      </c>
      <c r="H1017">
        <f>HYPERLINK("https://app.apollo.io/#/accounts/6578b8bc85cede01ae5c466b")</f>
        <v/>
      </c>
      <c r="I1017">
        <f>HYPERLINK("http://www.lrg.co.uk/")</f>
        <v/>
      </c>
      <c r="J1017">
        <f>HYPERLINK("http://www.linkedin.com/company/leaders-romans-group")</f>
        <v/>
      </c>
      <c r="K1017">
        <f>HYPERLINK("Not Found")</f>
        <v/>
      </c>
      <c r="L1017">
        <f>HYPERLINK("Not Found")</f>
        <v/>
      </c>
      <c r="M1017" t="inlineStr">
        <is>
          <t>Milton Keynes, United Kingdom</t>
        </is>
      </c>
      <c r="N1017" t="inlineStr">
        <is>
          <t>2,600</t>
        </is>
      </c>
      <c r="O1017" t="inlineStr">
        <is>
          <t>Commercial Real Estate</t>
        </is>
      </c>
      <c r="P1017" t="inlineStr">
        <is>
          <t>estate agency,lettings,property investment</t>
        </is>
      </c>
      <c r="Q1017" t="inlineStr">
        <is>
          <t>Not Found</t>
        </is>
      </c>
    </row>
    <row r="1018">
      <c r="A1018" t="inlineStr">
        <is>
          <t>54a462d07468693676476143</t>
        </is>
      </c>
      <c r="B1018" t="inlineStr">
        <is>
          <t>Matt Hyslop</t>
        </is>
      </c>
      <c r="C1018">
        <f>HYPERLINK("http://www.linkedin.com/in/matt-hyslop-03814819")</f>
        <v/>
      </c>
      <c r="D1018" t="inlineStr">
        <is>
          <t>Not Found</t>
        </is>
      </c>
      <c r="E1018" t="inlineStr">
        <is>
          <t>Head of Destination Consulting &amp; Director</t>
        </is>
      </c>
      <c r="F1018">
        <f>HYPERLINK("https://app.apollo.io/#/people/54a462d07468693676476143")</f>
        <v/>
      </c>
      <c r="G1018" t="inlineStr">
        <is>
          <t>Colliers</t>
        </is>
      </c>
      <c r="H1018">
        <f>HYPERLINK("https://app.apollo.io/#/accounts/64aaf6c63d556a0001e8eda6")</f>
        <v/>
      </c>
      <c r="I1018">
        <f>HYPERLINK("http://www.colliers.com/")</f>
        <v/>
      </c>
      <c r="J1018">
        <f>HYPERLINK("http://www.linkedin.com/company/colliers")</f>
        <v/>
      </c>
      <c r="K1018">
        <f>HYPERLINK("https://twitter.com/Colliers")</f>
        <v/>
      </c>
      <c r="L1018">
        <f>HYPERLINK("https://facebook.com/colliersinternational/")</f>
        <v/>
      </c>
      <c r="M1018" t="inlineStr">
        <is>
          <t>Bristol, United Kingdom</t>
        </is>
      </c>
      <c r="N1018" t="inlineStr">
        <is>
          <t>25,000</t>
        </is>
      </c>
      <c r="O1018" t="inlineStr">
        <is>
          <t>Commercial Real Estate</t>
        </is>
      </c>
      <c r="P1018" t="inlineStr">
        <is>
          <t>brokerage &amp; agency,corporate solutions</t>
        </is>
      </c>
      <c r="Q1018" t="inlineStr">
        <is>
          <t>Not Found</t>
        </is>
      </c>
    </row>
    <row r="1019">
      <c r="A1019" t="inlineStr">
        <is>
          <t>5f91b84dacce6100014c8de0</t>
        </is>
      </c>
      <c r="B1019" t="inlineStr">
        <is>
          <t>Ed Harrison</t>
        </is>
      </c>
      <c r="C1019">
        <f>HYPERLINK("http://www.linkedin.com/in/ed-harrison-8a3045a4")</f>
        <v/>
      </c>
      <c r="D1019" t="inlineStr">
        <is>
          <t>Not Found</t>
        </is>
      </c>
      <c r="E1019" t="inlineStr">
        <is>
          <t>BIM Manager</t>
        </is>
      </c>
      <c r="F1019">
        <f>HYPERLINK("https://app.apollo.io/#/people/5f91b84dacce6100014c8de0")</f>
        <v/>
      </c>
      <c r="G1019" t="inlineStr">
        <is>
          <t>C4 Projects Limited</t>
        </is>
      </c>
      <c r="H1019">
        <f>HYPERLINK("https://app.apollo.io/#/organizations/5569c1f27369642529868c00")</f>
        <v/>
      </c>
      <c r="I1019">
        <f>HYPERLINK("Not Found")</f>
        <v/>
      </c>
      <c r="J1019">
        <f>HYPERLINK("http://www.linkedin.com/company/c4-consulting-limited")</f>
        <v/>
      </c>
      <c r="K1019">
        <f>HYPERLINK("Not Found")</f>
        <v/>
      </c>
      <c r="L1019">
        <f>HYPERLINK("Not Found")</f>
        <v/>
      </c>
      <c r="M1019" t="inlineStr">
        <is>
          <t>Appleton, United Kingdom</t>
        </is>
      </c>
      <c r="N1019" t="inlineStr">
        <is>
          <t>40</t>
        </is>
      </c>
      <c r="O1019" t="inlineStr">
        <is>
          <t>Commercial Real Estate</t>
        </is>
      </c>
      <c r="P1019" t="inlineStr">
        <is>
          <t>building surveying,architecture,cost consultancy</t>
        </is>
      </c>
      <c r="Q1019" t="inlineStr">
        <is>
          <t>Not Found</t>
        </is>
      </c>
    </row>
    <row r="1020">
      <c r="A1020" t="inlineStr">
        <is>
          <t>55714a8c73696457b7044800</t>
        </is>
      </c>
      <c r="B1020" t="inlineStr">
        <is>
          <t>Damien Clifford</t>
        </is>
      </c>
      <c r="C1020">
        <f>HYPERLINK("http://www.linkedin.com/in/damien-clifford-35599672")</f>
        <v/>
      </c>
      <c r="D1020" t="inlineStr">
        <is>
          <t>Not Found</t>
        </is>
      </c>
      <c r="E1020" t="inlineStr">
        <is>
          <t>Director | EMEA Commercial Lead</t>
        </is>
      </c>
      <c r="F1020">
        <f>HYPERLINK("https://app.apollo.io/#/people/55714a8c73696457b7044800")</f>
        <v/>
      </c>
      <c r="G1020" t="inlineStr">
        <is>
          <t>CBRE Global Workplace Solutions (GWS)</t>
        </is>
      </c>
      <c r="H1020">
        <f>HYPERLINK("https://app.apollo.io/#/accounts/6509fed6f449800001b69a15")</f>
        <v/>
      </c>
      <c r="I1020">
        <f>HYPERLINK("http://www.coor.com/")</f>
        <v/>
      </c>
      <c r="J1020">
        <f>HYPERLINK("http://www.linkedin.com/company/cbre-gws")</f>
        <v/>
      </c>
      <c r="K1020">
        <f>HYPERLINK("Not Found")</f>
        <v/>
      </c>
      <c r="L1020">
        <f>HYPERLINK("Not Found")</f>
        <v/>
      </c>
      <c r="M1020" t="inlineStr">
        <is>
          <t>London, United Kingdom</t>
        </is>
      </c>
      <c r="N1020" t="inlineStr">
        <is>
          <t>15,000</t>
        </is>
      </c>
      <c r="O1020" t="inlineStr">
        <is>
          <t>Commercial Real Estate</t>
        </is>
      </c>
      <c r="P1020" t="inlineStr">
        <is>
          <t>project management,advisory,transaction services</t>
        </is>
      </c>
      <c r="Q1020" t="inlineStr">
        <is>
          <t>Not Found</t>
        </is>
      </c>
    </row>
    <row r="1021">
      <c r="A1021" t="inlineStr">
        <is>
          <t>564325aaa6da985f5e00909c</t>
        </is>
      </c>
      <c r="B1021" t="inlineStr">
        <is>
          <t>Laurine Toulmonde</t>
        </is>
      </c>
      <c r="C1021">
        <f>HYPERLINK("http://www.linkedin.com/in/laurine-toulmonde-674551106")</f>
        <v/>
      </c>
      <c r="D1021" t="inlineStr">
        <is>
          <t>Not Found</t>
        </is>
      </c>
      <c r="E1021" t="inlineStr">
        <is>
          <t>Data Privacy Associate Director</t>
        </is>
      </c>
      <c r="F1021">
        <f>HYPERLINK("https://app.apollo.io/#/people/564325aaa6da985f5e00909c")</f>
        <v/>
      </c>
      <c r="G1021" t="inlineStr">
        <is>
          <t>CBRE Global Workplace Solutions (GWS)</t>
        </is>
      </c>
      <c r="H1021">
        <f>HYPERLINK("https://app.apollo.io/#/accounts/6509fed6f449800001b69a15")</f>
        <v/>
      </c>
      <c r="I1021">
        <f>HYPERLINK("http://www.coor.com/")</f>
        <v/>
      </c>
      <c r="J1021">
        <f>HYPERLINK("http://www.linkedin.com/company/cbre-gws")</f>
        <v/>
      </c>
      <c r="K1021">
        <f>HYPERLINK("Not Found")</f>
        <v/>
      </c>
      <c r="L1021">
        <f>HYPERLINK("Not Found")</f>
        <v/>
      </c>
      <c r="M1021" t="inlineStr">
        <is>
          <t>London, United Kingdom</t>
        </is>
      </c>
      <c r="N1021" t="inlineStr">
        <is>
          <t>15,000</t>
        </is>
      </c>
      <c r="O1021" t="inlineStr">
        <is>
          <t>Commercial Real Estate</t>
        </is>
      </c>
      <c r="P1021" t="inlineStr">
        <is>
          <t>project management,advisory,transaction services</t>
        </is>
      </c>
      <c r="Q1021" t="inlineStr">
        <is>
          <t>Not Found</t>
        </is>
      </c>
    </row>
    <row r="1022">
      <c r="A1022" t="inlineStr">
        <is>
          <t>60fb81abad0115000147fa8e</t>
        </is>
      </c>
      <c r="B1022" t="inlineStr">
        <is>
          <t>Hannah Cooper</t>
        </is>
      </c>
      <c r="C1022">
        <f>HYPERLINK("http://www.linkedin.com/in/hannah-cooper-201466b8")</f>
        <v/>
      </c>
      <c r="D1022" t="inlineStr">
        <is>
          <t>Not Found</t>
        </is>
      </c>
      <c r="E1022" t="inlineStr">
        <is>
          <t>Group Human Resources Director</t>
        </is>
      </c>
      <c r="F1022">
        <f>HYPERLINK("https://app.apollo.io/#/people/60fb81abad0115000147fa8e")</f>
        <v/>
      </c>
      <c r="G1022" t="inlineStr">
        <is>
          <t>Leaders Romans Group</t>
        </is>
      </c>
      <c r="H1022">
        <f>HYPERLINK("https://app.apollo.io/#/accounts/6578b8bc85cede01ae5c466b")</f>
        <v/>
      </c>
      <c r="I1022">
        <f>HYPERLINK("http://www.lrg.co.uk/")</f>
        <v/>
      </c>
      <c r="J1022">
        <f>HYPERLINK("http://www.linkedin.com/company/leaders-romans-group")</f>
        <v/>
      </c>
      <c r="K1022">
        <f>HYPERLINK("Not Found")</f>
        <v/>
      </c>
      <c r="L1022">
        <f>HYPERLINK("Not Found")</f>
        <v/>
      </c>
      <c r="M1022" t="inlineStr">
        <is>
          <t>England, United Kingdom</t>
        </is>
      </c>
      <c r="N1022" t="inlineStr">
        <is>
          <t>2,600</t>
        </is>
      </c>
      <c r="O1022" t="inlineStr">
        <is>
          <t>Commercial Real Estate</t>
        </is>
      </c>
      <c r="P1022" t="inlineStr">
        <is>
          <t>estate agency,lettings,property investment</t>
        </is>
      </c>
      <c r="Q1022" t="inlineStr">
        <is>
          <t>Not Found</t>
        </is>
      </c>
    </row>
    <row r="1023">
      <c r="A1023" t="inlineStr">
        <is>
          <t>54a4d7ef7468692abf5be667</t>
        </is>
      </c>
      <c r="B1023" t="inlineStr">
        <is>
          <t>Emma Wells</t>
        </is>
      </c>
      <c r="C1023">
        <f>HYPERLINK("http://www.linkedin.com/in/emma-wells-70083312")</f>
        <v/>
      </c>
      <c r="D1023" t="inlineStr">
        <is>
          <t>Not Found</t>
        </is>
      </c>
      <c r="E1023" t="inlineStr">
        <is>
          <t>Managing Director Lettings (North)</t>
        </is>
      </c>
      <c r="F1023">
        <f>HYPERLINK("https://app.apollo.io/#/people/54a4d7ef7468692abf5be667")</f>
        <v/>
      </c>
      <c r="G1023" t="inlineStr">
        <is>
          <t>Leaders Romans Group</t>
        </is>
      </c>
      <c r="H1023">
        <f>HYPERLINK("https://app.apollo.io/#/accounts/6578b8bc85cede01ae5c466b")</f>
        <v/>
      </c>
      <c r="I1023">
        <f>HYPERLINK("http://www.lrg.co.uk/")</f>
        <v/>
      </c>
      <c r="J1023">
        <f>HYPERLINK("http://www.linkedin.com/company/leaders-romans-group")</f>
        <v/>
      </c>
      <c r="K1023">
        <f>HYPERLINK("Not Found")</f>
        <v/>
      </c>
      <c r="L1023">
        <f>HYPERLINK("Not Found")</f>
        <v/>
      </c>
      <c r="M1023" t="inlineStr">
        <is>
          <t>Norwich, United Kingdom</t>
        </is>
      </c>
      <c r="N1023" t="inlineStr">
        <is>
          <t>2,600</t>
        </is>
      </c>
      <c r="O1023" t="inlineStr">
        <is>
          <t>Commercial Real Estate</t>
        </is>
      </c>
      <c r="P1023" t="inlineStr">
        <is>
          <t>estate agency,lettings,property investment</t>
        </is>
      </c>
      <c r="Q1023" t="inlineStr">
        <is>
          <t>Not Found</t>
        </is>
      </c>
    </row>
    <row r="1024">
      <c r="A1024" t="inlineStr">
        <is>
          <t>54a782dd746869705a24183c</t>
        </is>
      </c>
      <c r="B1024" t="inlineStr">
        <is>
          <t>Roland Braund</t>
        </is>
      </c>
      <c r="C1024">
        <f>HYPERLINK("http://www.linkedin.com/in/roland-braund-5361ab55")</f>
        <v/>
      </c>
      <c r="D1024" t="inlineStr">
        <is>
          <t>Not Found</t>
        </is>
      </c>
      <c r="E1024" t="inlineStr">
        <is>
          <t>Alliance Director Citi Account</t>
        </is>
      </c>
      <c r="F1024">
        <f>HYPERLINK("https://app.apollo.io/#/people/54a782dd746869705a24183c")</f>
        <v/>
      </c>
      <c r="G1024" t="inlineStr">
        <is>
          <t>CBRE Global Workplace Solutions (GWS)</t>
        </is>
      </c>
      <c r="H1024">
        <f>HYPERLINK("https://app.apollo.io/#/accounts/6509fed6f449800001b69a15")</f>
        <v/>
      </c>
      <c r="I1024">
        <f>HYPERLINK("http://www.coor.com/")</f>
        <v/>
      </c>
      <c r="J1024">
        <f>HYPERLINK("http://www.linkedin.com/company/cbre-gws")</f>
        <v/>
      </c>
      <c r="K1024">
        <f>HYPERLINK("Not Found")</f>
        <v/>
      </c>
      <c r="L1024">
        <f>HYPERLINK("Not Found")</f>
        <v/>
      </c>
      <c r="M1024" t="inlineStr">
        <is>
          <t>Chelmsford, United Kingdom</t>
        </is>
      </c>
      <c r="N1024" t="inlineStr">
        <is>
          <t>15,000</t>
        </is>
      </c>
      <c r="O1024" t="inlineStr">
        <is>
          <t>Commercial Real Estate</t>
        </is>
      </c>
      <c r="P1024" t="inlineStr">
        <is>
          <t>project management,advisory,transaction services</t>
        </is>
      </c>
      <c r="Q1024" t="inlineStr">
        <is>
          <t>Not Found</t>
        </is>
      </c>
    </row>
    <row r="1025">
      <c r="A1025" t="inlineStr">
        <is>
          <t>54a72ffa746869730aea491d</t>
        </is>
      </c>
      <c r="B1025" t="inlineStr">
        <is>
          <t>Gideon Levene</t>
        </is>
      </c>
      <c r="C1025">
        <f>HYPERLINK("http://www.linkedin.com/in/gideon-levene-7148812a")</f>
        <v/>
      </c>
      <c r="D1025" t="inlineStr">
        <is>
          <t>Not Found</t>
        </is>
      </c>
      <c r="E1025" t="inlineStr">
        <is>
          <t>Director, Project and Building Consultancy</t>
        </is>
      </c>
      <c r="F1025">
        <f>HYPERLINK("https://app.apollo.io/#/people/54a72ffa746869730aea491d")</f>
        <v/>
      </c>
      <c r="G1025" t="inlineStr">
        <is>
          <t>Colliers</t>
        </is>
      </c>
      <c r="H1025">
        <f>HYPERLINK("https://app.apollo.io/#/accounts/64aaf6c63d556a0001e8eda6")</f>
        <v/>
      </c>
      <c r="I1025">
        <f>HYPERLINK("http://www.colliers.com/")</f>
        <v/>
      </c>
      <c r="J1025">
        <f>HYPERLINK("http://www.linkedin.com/company/colliers")</f>
        <v/>
      </c>
      <c r="K1025">
        <f>HYPERLINK("https://twitter.com/Colliers")</f>
        <v/>
      </c>
      <c r="L1025">
        <f>HYPERLINK("https://facebook.com/colliersinternational/")</f>
        <v/>
      </c>
      <c r="M1025" t="inlineStr">
        <is>
          <t>Lymm, United Kingdom</t>
        </is>
      </c>
      <c r="N1025" t="inlineStr">
        <is>
          <t>25,000</t>
        </is>
      </c>
      <c r="O1025" t="inlineStr">
        <is>
          <t>Commercial Real Estate</t>
        </is>
      </c>
      <c r="P1025" t="inlineStr">
        <is>
          <t>brokerage &amp; agency,corporate solutions</t>
        </is>
      </c>
      <c r="Q1025" t="inlineStr">
        <is>
          <t>Not Found</t>
        </is>
      </c>
    </row>
    <row r="1026">
      <c r="A1026" t="inlineStr">
        <is>
          <t>60e680a0c0e58500012ac7bd</t>
        </is>
      </c>
      <c r="B1026" t="inlineStr">
        <is>
          <t>Derek Mee</t>
        </is>
      </c>
      <c r="C1026">
        <f>HYPERLINK("http://www.linkedin.com/in/derek-mee-a16b7919")</f>
        <v/>
      </c>
      <c r="D1026" t="inlineStr">
        <is>
          <t>Not Found</t>
        </is>
      </c>
      <c r="E1026" t="inlineStr">
        <is>
          <t>Group IT Director</t>
        </is>
      </c>
      <c r="F1026">
        <f>HYPERLINK("https://app.apollo.io/#/people/60e680a0c0e58500012ac7bd")</f>
        <v/>
      </c>
      <c r="G1026" t="inlineStr">
        <is>
          <t>Leaders Romans Group</t>
        </is>
      </c>
      <c r="H1026">
        <f>HYPERLINK("https://app.apollo.io/#/accounts/6578b8bc85cede01ae5c466b")</f>
        <v/>
      </c>
      <c r="I1026">
        <f>HYPERLINK("http://www.lrg.co.uk/")</f>
        <v/>
      </c>
      <c r="J1026">
        <f>HYPERLINK("http://www.linkedin.com/company/leaders-romans-group")</f>
        <v/>
      </c>
      <c r="K1026">
        <f>HYPERLINK("Not Found")</f>
        <v/>
      </c>
      <c r="L1026">
        <f>HYPERLINK("Not Found")</f>
        <v/>
      </c>
      <c r="M1026" t="inlineStr">
        <is>
          <t>Reading, United Kingdom</t>
        </is>
      </c>
      <c r="N1026" t="inlineStr">
        <is>
          <t>2,600</t>
        </is>
      </c>
      <c r="O1026" t="inlineStr">
        <is>
          <t>Commercial Real Estate</t>
        </is>
      </c>
      <c r="P1026" t="inlineStr">
        <is>
          <t>estate agency,lettings,property investment</t>
        </is>
      </c>
      <c r="Q1026" t="inlineStr">
        <is>
          <t>Not Found</t>
        </is>
      </c>
    </row>
    <row r="1027">
      <c r="A1027" t="inlineStr">
        <is>
          <t>54ab68c27468690ae6a71a06</t>
        </is>
      </c>
      <c r="B1027" t="inlineStr">
        <is>
          <t>Ben Dewhirst</t>
        </is>
      </c>
      <c r="C1027">
        <f>HYPERLINK("http://www.linkedin.com/in/ben-dewhirst-7aa06032")</f>
        <v/>
      </c>
      <c r="D1027" t="inlineStr">
        <is>
          <t>Not Found</t>
        </is>
      </c>
      <c r="E1027" t="inlineStr">
        <is>
          <t>Associate Director, Hotel Valuations</t>
        </is>
      </c>
      <c r="F1027">
        <f>HYPERLINK("https://app.apollo.io/#/people/54ab68c27468690ae6a71a06")</f>
        <v/>
      </c>
      <c r="G1027" t="inlineStr">
        <is>
          <t>Colliers</t>
        </is>
      </c>
      <c r="H1027">
        <f>HYPERLINK("https://app.apollo.io/#/accounts/64aaf6c63d556a0001e8eda6")</f>
        <v/>
      </c>
      <c r="I1027">
        <f>HYPERLINK("http://www.colliers.com/")</f>
        <v/>
      </c>
      <c r="J1027">
        <f>HYPERLINK("http://www.linkedin.com/company/colliers")</f>
        <v/>
      </c>
      <c r="K1027">
        <f>HYPERLINK("https://twitter.com/Colliers")</f>
        <v/>
      </c>
      <c r="L1027">
        <f>HYPERLINK("https://facebook.com/colliersinternational/")</f>
        <v/>
      </c>
      <c r="M1027" t="inlineStr">
        <is>
          <t>Leeds, United Kingdom</t>
        </is>
      </c>
      <c r="N1027" t="inlineStr">
        <is>
          <t>25,000</t>
        </is>
      </c>
      <c r="O1027" t="inlineStr">
        <is>
          <t>Commercial Real Estate</t>
        </is>
      </c>
      <c r="P1027" t="inlineStr">
        <is>
          <t>brokerage &amp; agency,corporate solutions</t>
        </is>
      </c>
      <c r="Q1027" t="inlineStr">
        <is>
          <t>Not Found</t>
        </is>
      </c>
    </row>
    <row r="1028">
      <c r="A1028" t="inlineStr">
        <is>
          <t>54ebc345746869431173801f</t>
        </is>
      </c>
      <c r="B1028" t="inlineStr">
        <is>
          <t>Sam Walker</t>
        </is>
      </c>
      <c r="C1028">
        <f>HYPERLINK("http://www.linkedin.com/in/sam-walker-927a927b")</f>
        <v/>
      </c>
      <c r="D1028" t="inlineStr">
        <is>
          <t>Not Found</t>
        </is>
      </c>
      <c r="E1028" t="inlineStr">
        <is>
          <t>Director, Asset &amp; Development Management</t>
        </is>
      </c>
      <c r="F1028">
        <f>HYPERLINK("https://app.apollo.io/#/people/54ebc345746869431173801f")</f>
        <v/>
      </c>
      <c r="G1028" t="inlineStr">
        <is>
          <t>CANMOOR</t>
        </is>
      </c>
      <c r="H1028">
        <f>HYPERLINK("https://app.apollo.io/#/accounts/6578c31c48f92e01ae97bd25")</f>
        <v/>
      </c>
      <c r="I1028">
        <f>HYPERLINK("http://www.canmoor.com/")</f>
        <v/>
      </c>
      <c r="J1028">
        <f>HYPERLINK("http://www.linkedin.com/company/canmoor-asset-management-limited")</f>
        <v/>
      </c>
      <c r="K1028">
        <f>HYPERLINK("Not Found")</f>
        <v/>
      </c>
      <c r="L1028">
        <f>HYPERLINK("Not Found")</f>
        <v/>
      </c>
      <c r="M1028" t="inlineStr">
        <is>
          <t>London, United Kingdom</t>
        </is>
      </c>
      <c r="N1028" t="inlineStr">
        <is>
          <t>22</t>
        </is>
      </c>
      <c r="O1028" t="inlineStr">
        <is>
          <t>Commercial Real Estate</t>
        </is>
      </c>
      <c r="Q1028" t="inlineStr">
        <is>
          <t>Not Found</t>
        </is>
      </c>
    </row>
    <row r="1029">
      <c r="A1029" t="inlineStr">
        <is>
          <t>57d3b708a6da9853a658e3f8</t>
        </is>
      </c>
      <c r="B1029" t="inlineStr">
        <is>
          <t>Mike Bull</t>
        </is>
      </c>
      <c r="C1029">
        <f>HYPERLINK("http://www.linkedin.com/in/mike-bull-696a8526")</f>
        <v/>
      </c>
      <c r="D1029" t="inlineStr">
        <is>
          <t>Not Found</t>
        </is>
      </c>
      <c r="E1029" t="inlineStr">
        <is>
          <t>Director Of Operations and Property Management</t>
        </is>
      </c>
      <c r="F1029">
        <f>HYPERLINK("https://app.apollo.io/#/people/57d3b708a6da9853a658e3f8")</f>
        <v/>
      </c>
      <c r="G1029" t="inlineStr">
        <is>
          <t>Ashville Group</t>
        </is>
      </c>
      <c r="H1029">
        <f>HYPERLINK("https://app.apollo.io/#/organizations/54a1354269702d2db43aef00")</f>
        <v/>
      </c>
      <c r="I1029">
        <f>HYPERLINK("http://www.ashvillegroup.co.uk/")</f>
        <v/>
      </c>
      <c r="J1029">
        <f>HYPERLINK("http://www.linkedin.com/company/ashville-asset-management")</f>
        <v/>
      </c>
      <c r="K1029">
        <f>HYPERLINK("https://twitter.com/ashville_group")</f>
        <v/>
      </c>
      <c r="L1029">
        <f>HYPERLINK("Not Found")</f>
        <v/>
      </c>
      <c r="M1029" t="inlineStr">
        <is>
          <t>Bristol, United Kingdom</t>
        </is>
      </c>
      <c r="N1029" t="inlineStr">
        <is>
          <t>19</t>
        </is>
      </c>
      <c r="O1029" t="inlineStr">
        <is>
          <t>Commercial Real Estate</t>
        </is>
      </c>
      <c r="P1029" t="inlineStr">
        <is>
          <t>asset management,commercial real estate</t>
        </is>
      </c>
      <c r="Q1029" t="inlineStr">
        <is>
          <t>Not Found</t>
        </is>
      </c>
    </row>
    <row r="1030">
      <c r="A1030" t="inlineStr">
        <is>
          <t>54c2ba337468691639bb89be</t>
        </is>
      </c>
      <c r="B1030" t="inlineStr">
        <is>
          <t>Mark Alcock</t>
        </is>
      </c>
      <c r="C1030">
        <f>HYPERLINK("http://www.linkedin.com/in/mark-alcock-38893913")</f>
        <v/>
      </c>
      <c r="D1030" t="inlineStr">
        <is>
          <t>Not Found</t>
        </is>
      </c>
      <c r="E1030" t="inlineStr">
        <is>
          <t>Director - Project &amp; Building Consultancy</t>
        </is>
      </c>
      <c r="F1030">
        <f>HYPERLINK("https://app.apollo.io/#/people/54c2ba337468691639bb89be")</f>
        <v/>
      </c>
      <c r="G1030" t="inlineStr">
        <is>
          <t>Colliers</t>
        </is>
      </c>
      <c r="H1030">
        <f>HYPERLINK("https://app.apollo.io/#/accounts/64aaf6c63d556a0001e8eda6")</f>
        <v/>
      </c>
      <c r="I1030">
        <f>HYPERLINK("http://www.colliers.com/")</f>
        <v/>
      </c>
      <c r="J1030">
        <f>HYPERLINK("http://www.linkedin.com/company/colliers")</f>
        <v/>
      </c>
      <c r="K1030">
        <f>HYPERLINK("https://twitter.com/Colliers")</f>
        <v/>
      </c>
      <c r="L1030">
        <f>HYPERLINK("https://facebook.com/colliersinternational/")</f>
        <v/>
      </c>
      <c r="M1030" t="inlineStr">
        <is>
          <t>Leeds, United Kingdom</t>
        </is>
      </c>
      <c r="N1030" t="inlineStr">
        <is>
          <t>25,000</t>
        </is>
      </c>
      <c r="O1030" t="inlineStr">
        <is>
          <t>Commercial Real Estate</t>
        </is>
      </c>
      <c r="P1030" t="inlineStr">
        <is>
          <t>brokerage &amp; agency,corporate solutions</t>
        </is>
      </c>
      <c r="Q1030" t="inlineStr">
        <is>
          <t>Not Found</t>
        </is>
      </c>
    </row>
    <row r="1031">
      <c r="A1031" t="inlineStr">
        <is>
          <t>60e60a22501d28000193dbeb</t>
        </is>
      </c>
      <c r="B1031" t="inlineStr">
        <is>
          <t>Dean Waghorn</t>
        </is>
      </c>
      <c r="C1031">
        <f>HYPERLINK("http://www.linkedin.com/in/dean-waghorn-0a07a566")</f>
        <v/>
      </c>
      <c r="D1031" t="inlineStr">
        <is>
          <t>Not Found</t>
        </is>
      </c>
      <c r="E1031" t="inlineStr">
        <is>
          <t>Global Project Director - Whitespace</t>
        </is>
      </c>
      <c r="F1031">
        <f>HYPERLINK("https://app.apollo.io/#/people/60e60a22501d28000193dbeb")</f>
        <v/>
      </c>
      <c r="G1031" t="inlineStr">
        <is>
          <t>CBRE Global Workplace Solutions (GWS)</t>
        </is>
      </c>
      <c r="H1031">
        <f>HYPERLINK("https://app.apollo.io/#/accounts/6509fed6f449800001b69a15")</f>
        <v/>
      </c>
      <c r="I1031">
        <f>HYPERLINK("http://www.coor.com/")</f>
        <v/>
      </c>
      <c r="J1031">
        <f>HYPERLINK("http://www.linkedin.com/company/cbre-gws")</f>
        <v/>
      </c>
      <c r="K1031">
        <f>HYPERLINK("Not Found")</f>
        <v/>
      </c>
      <c r="L1031">
        <f>HYPERLINK("Not Found")</f>
        <v/>
      </c>
      <c r="M1031" t="inlineStr">
        <is>
          <t>London, United Kingdom</t>
        </is>
      </c>
      <c r="N1031" t="inlineStr">
        <is>
          <t>15,000</t>
        </is>
      </c>
      <c r="O1031" t="inlineStr">
        <is>
          <t>Commercial Real Estate</t>
        </is>
      </c>
      <c r="P1031" t="inlineStr">
        <is>
          <t>project management,advisory,transaction services</t>
        </is>
      </c>
      <c r="Q1031" t="inlineStr">
        <is>
          <t>Not Found</t>
        </is>
      </c>
    </row>
    <row r="1032">
      <c r="A1032" t="inlineStr">
        <is>
          <t>54c1a34974686916395dd82d</t>
        </is>
      </c>
      <c r="B1032" t="inlineStr">
        <is>
          <t>Keshiv Prabhakar</t>
        </is>
      </c>
      <c r="C1032">
        <f>HYPERLINK("http://www.linkedin.com/in/keshivprabhakar")</f>
        <v/>
      </c>
      <c r="D1032" t="inlineStr">
        <is>
          <t>Not Found</t>
        </is>
      </c>
      <c r="E1032" t="inlineStr">
        <is>
          <t>Senior Director Product Development</t>
        </is>
      </c>
      <c r="F1032">
        <f>HYPERLINK("https://app.apollo.io/#/people/54c1a34974686916395dd82d")</f>
        <v/>
      </c>
      <c r="G1032" t="inlineStr">
        <is>
          <t>CBRE Global Workplace Solutions (GWS)</t>
        </is>
      </c>
      <c r="H1032">
        <f>HYPERLINK("https://app.apollo.io/#/accounts/6509fed6f449800001b69a15")</f>
        <v/>
      </c>
      <c r="I1032">
        <f>HYPERLINK("http://www.coor.com/")</f>
        <v/>
      </c>
      <c r="J1032">
        <f>HYPERLINK("http://www.linkedin.com/company/cbre-gws")</f>
        <v/>
      </c>
      <c r="K1032">
        <f>HYPERLINK("Not Found")</f>
        <v/>
      </c>
      <c r="L1032">
        <f>HYPERLINK("Not Found")</f>
        <v/>
      </c>
      <c r="M1032" t="inlineStr">
        <is>
          <t>England, United Kingdom</t>
        </is>
      </c>
      <c r="N1032" t="inlineStr">
        <is>
          <t>15,000</t>
        </is>
      </c>
      <c r="O1032" t="inlineStr">
        <is>
          <t>Commercial Real Estate</t>
        </is>
      </c>
      <c r="P1032" t="inlineStr">
        <is>
          <t>project management,advisory,transaction services</t>
        </is>
      </c>
      <c r="Q1032" t="inlineStr">
        <is>
          <t>Not Found</t>
        </is>
      </c>
    </row>
    <row r="1033">
      <c r="A1033" t="inlineStr">
        <is>
          <t>60eeb8f9a074b70001578389</t>
        </is>
      </c>
      <c r="B1033" t="inlineStr">
        <is>
          <t>Luke Beesley</t>
        </is>
      </c>
      <c r="C1033">
        <f>HYPERLINK("http://www.linkedin.com/in/luke-beesley-29552065")</f>
        <v/>
      </c>
      <c r="D1033" t="inlineStr">
        <is>
          <t>Not Found</t>
        </is>
      </c>
      <c r="E1033" t="inlineStr">
        <is>
          <t>Divisional Procurement Director (EMEA)</t>
        </is>
      </c>
      <c r="F1033">
        <f>HYPERLINK("https://app.apollo.io/#/people/60eeb8f9a074b70001578389")</f>
        <v/>
      </c>
      <c r="G1033" t="inlineStr">
        <is>
          <t>CBRE Global Workplace Solutions (GWS)</t>
        </is>
      </c>
      <c r="H1033">
        <f>HYPERLINK("https://app.apollo.io/#/accounts/6509fed6f449800001b69a15")</f>
        <v/>
      </c>
      <c r="I1033">
        <f>HYPERLINK("http://www.coor.com/")</f>
        <v/>
      </c>
      <c r="J1033">
        <f>HYPERLINK("http://www.linkedin.com/company/cbre-gws")</f>
        <v/>
      </c>
      <c r="K1033">
        <f>HYPERLINK("Not Found")</f>
        <v/>
      </c>
      <c r="L1033">
        <f>HYPERLINK("Not Found")</f>
        <v/>
      </c>
      <c r="M1033" t="inlineStr">
        <is>
          <t>England, United Kingdom</t>
        </is>
      </c>
      <c r="N1033" t="inlineStr">
        <is>
          <t>15,000</t>
        </is>
      </c>
      <c r="O1033" t="inlineStr">
        <is>
          <t>Commercial Real Estate</t>
        </is>
      </c>
      <c r="P1033" t="inlineStr">
        <is>
          <t>project management,advisory,transaction services</t>
        </is>
      </c>
      <c r="Q1033" t="inlineStr">
        <is>
          <t>Not Found</t>
        </is>
      </c>
    </row>
    <row r="1034">
      <c r="A1034" t="inlineStr">
        <is>
          <t>607794980ae2b60001af8a71</t>
        </is>
      </c>
      <c r="B1034" t="inlineStr">
        <is>
          <t>Kim Wilson</t>
        </is>
      </c>
      <c r="C1034">
        <f>HYPERLINK("http://www.linkedin.com/in/kim-wilson-b3a43758")</f>
        <v/>
      </c>
      <c r="D1034" t="inlineStr">
        <is>
          <t>Not Found</t>
        </is>
      </c>
      <c r="E1034" t="inlineStr">
        <is>
          <t>Regional Sales Director</t>
        </is>
      </c>
      <c r="F1034">
        <f>HYPERLINK("https://app.apollo.io/#/people/607794980ae2b60001af8a71")</f>
        <v/>
      </c>
      <c r="G1034" t="inlineStr">
        <is>
          <t>CoStar Group</t>
        </is>
      </c>
      <c r="H1034">
        <f>HYPERLINK("https://app.apollo.io/#/accounts/6578be77ccf69c01ae54f373")</f>
        <v/>
      </c>
      <c r="I1034">
        <f>HYPERLINK("http://www.costargroup.com/")</f>
        <v/>
      </c>
      <c r="J1034">
        <f>HYPERLINK("http://www.linkedin.com/company/costar-group")</f>
        <v/>
      </c>
      <c r="K1034">
        <f>HYPERLINK("http://twitter.com/TheCoStarGroup")</f>
        <v/>
      </c>
      <c r="L1034">
        <f>HYPERLINK("http://www.facebook.com/CoStarGroup")</f>
        <v/>
      </c>
      <c r="M1034" t="inlineStr">
        <is>
          <t>London, United Kingdom</t>
        </is>
      </c>
      <c r="N1034" t="inlineStr">
        <is>
          <t>6,300</t>
        </is>
      </c>
      <c r="O1034" t="inlineStr">
        <is>
          <t>Commercial Real Estate</t>
        </is>
      </c>
      <c r="P1034" t="inlineStr">
        <is>
          <t>information technology,research,marketing</t>
        </is>
      </c>
      <c r="Q1034" t="inlineStr">
        <is>
          <t>Not Found</t>
        </is>
      </c>
    </row>
    <row r="1035">
      <c r="A1035" t="inlineStr">
        <is>
          <t>65115a3624b3400001080311</t>
        </is>
      </c>
      <c r="B1035" t="inlineStr">
        <is>
          <t>David Brown</t>
        </is>
      </c>
      <c r="C1035">
        <f>HYPERLINK("http://www.linkedin.com/in/david-brown-5ba47634")</f>
        <v/>
      </c>
      <c r="D1035" t="inlineStr">
        <is>
          <t>Not Found</t>
        </is>
      </c>
      <c r="E1035" t="inlineStr">
        <is>
          <t>Associate Director | Energy &amp; Sustainability</t>
        </is>
      </c>
      <c r="F1035">
        <f>HYPERLINK("https://app.apollo.io/#/people/65115a3624b3400001080311")</f>
        <v/>
      </c>
      <c r="G1035" t="inlineStr">
        <is>
          <t>Colliers</t>
        </is>
      </c>
      <c r="H1035">
        <f>HYPERLINK("https://app.apollo.io/#/accounts/6578c2e248f92e02cc97a7cd")</f>
        <v/>
      </c>
      <c r="I1035">
        <f>HYPERLINK("http://www.colliers.com/")</f>
        <v/>
      </c>
      <c r="J1035">
        <f>HYPERLINK("http://www.linkedin.com/company/colliers")</f>
        <v/>
      </c>
      <c r="K1035">
        <f>HYPERLINK("https://twitter.com/collierscanada")</f>
        <v/>
      </c>
      <c r="L1035">
        <f>HYPERLINK("Not Found")</f>
        <v/>
      </c>
      <c r="M1035" t="inlineStr">
        <is>
          <t>Glasgow, United Kingdom</t>
        </is>
      </c>
      <c r="N1035" t="inlineStr">
        <is>
          <t>25,000</t>
        </is>
      </c>
      <c r="O1035" t="inlineStr">
        <is>
          <t>Commercial Real Estate</t>
        </is>
      </c>
      <c r="P1035" t="inlineStr">
        <is>
          <t>brokerage &amp; agency,corporate solutions</t>
        </is>
      </c>
      <c r="Q1035" t="inlineStr">
        <is>
          <t>Not Found</t>
        </is>
      </c>
    </row>
    <row r="1036">
      <c r="A1036" t="inlineStr">
        <is>
          <t>54a295667468693a7ecfd62d</t>
        </is>
      </c>
      <c r="B1036" t="inlineStr">
        <is>
          <t>Zuzana Slovikova</t>
        </is>
      </c>
      <c r="C1036">
        <f>HYPERLINK("http://www.linkedin.com/in/zuzana-slovikova-56867923")</f>
        <v/>
      </c>
      <c r="D1036" t="inlineStr">
        <is>
          <t>Not Found</t>
        </is>
      </c>
      <c r="E1036" t="inlineStr">
        <is>
          <t>Procurement Director NE Europe</t>
        </is>
      </c>
      <c r="F1036">
        <f>HYPERLINK("https://app.apollo.io/#/people/54a295667468693a7ecfd62d")</f>
        <v/>
      </c>
      <c r="G1036" t="inlineStr">
        <is>
          <t>CBRE Global Workplace Solutions (GWS)</t>
        </is>
      </c>
      <c r="H1036">
        <f>HYPERLINK("https://app.apollo.io/#/accounts/6509fed6f449800001b69a15")</f>
        <v/>
      </c>
      <c r="I1036">
        <f>HYPERLINK("http://www.coor.com/")</f>
        <v/>
      </c>
      <c r="J1036">
        <f>HYPERLINK("http://www.linkedin.com/company/cbre-gws")</f>
        <v/>
      </c>
      <c r="K1036">
        <f>HYPERLINK("Not Found")</f>
        <v/>
      </c>
      <c r="L1036">
        <f>HYPERLINK("Not Found")</f>
        <v/>
      </c>
      <c r="M1036" t="inlineStr">
        <is>
          <t>United Kingdom</t>
        </is>
      </c>
      <c r="N1036" t="inlineStr">
        <is>
          <t>15,000</t>
        </is>
      </c>
      <c r="O1036" t="inlineStr">
        <is>
          <t>Commercial Real Estate</t>
        </is>
      </c>
      <c r="P1036" t="inlineStr">
        <is>
          <t>project management,advisory,transaction services</t>
        </is>
      </c>
      <c r="Q1036" t="inlineStr">
        <is>
          <t>Not Found</t>
        </is>
      </c>
    </row>
    <row r="1037">
      <c r="A1037" t="inlineStr">
        <is>
          <t>57e1c3eda6da9856dadb4ce5</t>
        </is>
      </c>
      <c r="B1037" t="inlineStr">
        <is>
          <t>Elliot Wallis</t>
        </is>
      </c>
      <c r="C1037">
        <f>HYPERLINK("http://www.linkedin.com/in/elliot-wallis-b35336b7")</f>
        <v/>
      </c>
      <c r="D1037" t="inlineStr">
        <is>
          <t>Not Found</t>
        </is>
      </c>
      <c r="E1037" t="inlineStr">
        <is>
          <t>Operations Director UK&amp;I</t>
        </is>
      </c>
      <c r="F1037">
        <f>HYPERLINK("https://app.apollo.io/#/people/57e1c3eda6da9856dadb4ce5")</f>
        <v/>
      </c>
      <c r="G1037" t="inlineStr">
        <is>
          <t>CBRE Global Workplace Solutions (GWS)</t>
        </is>
      </c>
      <c r="H1037">
        <f>HYPERLINK("https://app.apollo.io/#/accounts/6509fed6f449800001b69a15")</f>
        <v/>
      </c>
      <c r="I1037">
        <f>HYPERLINK("http://www.coor.com/")</f>
        <v/>
      </c>
      <c r="J1037">
        <f>HYPERLINK("http://www.linkedin.com/company/cbre-gws")</f>
        <v/>
      </c>
      <c r="K1037">
        <f>HYPERLINK("Not Found")</f>
        <v/>
      </c>
      <c r="L1037">
        <f>HYPERLINK("Not Found")</f>
        <v/>
      </c>
      <c r="M1037" t="inlineStr">
        <is>
          <t>United Kingdom</t>
        </is>
      </c>
      <c r="N1037" t="inlineStr">
        <is>
          <t>15,000</t>
        </is>
      </c>
      <c r="O1037" t="inlineStr">
        <is>
          <t>Commercial Real Estate</t>
        </is>
      </c>
      <c r="P1037" t="inlineStr">
        <is>
          <t>project management,advisory,transaction services</t>
        </is>
      </c>
      <c r="Q1037" t="inlineStr">
        <is>
          <t>Not Found</t>
        </is>
      </c>
    </row>
    <row r="1038">
      <c r="A1038" t="inlineStr">
        <is>
          <t>610eb529d48bec00010fc1e7</t>
        </is>
      </c>
      <c r="B1038" t="inlineStr">
        <is>
          <t>David Kershaw</t>
        </is>
      </c>
      <c r="C1038">
        <f>HYPERLINK("http://www.linkedin.com/in/david-kershaw-32aa3b13")</f>
        <v/>
      </c>
      <c r="D1038" t="inlineStr">
        <is>
          <t>Not Found</t>
        </is>
      </c>
      <c r="E1038" t="inlineStr">
        <is>
          <t>Group Real Estate Director</t>
        </is>
      </c>
      <c r="F1038">
        <f>HYPERLINK("https://app.apollo.io/#/people/610eb529d48bec00010fc1e7")</f>
        <v/>
      </c>
      <c r="G1038" t="inlineStr">
        <is>
          <t>RO Group</t>
        </is>
      </c>
      <c r="H1038">
        <f>HYPERLINK("https://app.apollo.io/#/organizations/5d09ed3df65125d4cb2cdeba")</f>
        <v/>
      </c>
      <c r="I1038">
        <f>HYPERLINK("http://www.rogroup.co.uk/")</f>
        <v/>
      </c>
      <c r="J1038">
        <f>HYPERLINK("http://www.linkedin.com/company/ro-group")</f>
        <v/>
      </c>
      <c r="K1038">
        <f>HYPERLINK("Not Found")</f>
        <v/>
      </c>
      <c r="L1038">
        <f>HYPERLINK("Not Found")</f>
        <v/>
      </c>
      <c r="M1038" t="inlineStr">
        <is>
          <t>London, United Kingdom</t>
        </is>
      </c>
      <c r="N1038" t="inlineStr">
        <is>
          <t>26</t>
        </is>
      </c>
      <c r="O1038" t="inlineStr">
        <is>
          <t>Commercial Real Estate</t>
        </is>
      </c>
      <c r="P1038" t="inlineStr">
        <is>
          <t>real estate,trading,holiday lodge developments</t>
        </is>
      </c>
      <c r="Q1038" t="inlineStr">
        <is>
          <t>Not Found</t>
        </is>
      </c>
    </row>
    <row r="1039">
      <c r="A1039" t="inlineStr">
        <is>
          <t>65184ba0e2541b000131a747</t>
        </is>
      </c>
      <c r="B1039" t="inlineStr">
        <is>
          <t>Iain Corless</t>
        </is>
      </c>
      <c r="C1039">
        <f>HYPERLINK("http://www.linkedin.com/in/iain-corless-aca-b0682a74")</f>
        <v/>
      </c>
      <c r="D1039" t="inlineStr">
        <is>
          <t>Not Found</t>
        </is>
      </c>
      <c r="E1039" t="inlineStr">
        <is>
          <t>Finance Director Central London</t>
        </is>
      </c>
      <c r="F1039">
        <f>HYPERLINK("https://app.apollo.io/#/people/65184ba0e2541b000131a747")</f>
        <v/>
      </c>
      <c r="G1039" t="inlineStr">
        <is>
          <t>Landsec</t>
        </is>
      </c>
      <c r="H1039">
        <f>HYPERLINK("https://app.apollo.io/#/accounts/6578b86a75dc3a02ccc995c8")</f>
        <v/>
      </c>
      <c r="I1039">
        <f>HYPERLINK("http://www.landsec.com/")</f>
        <v/>
      </c>
      <c r="J1039">
        <f>HYPERLINK("http://www.linkedin.com/company/landsec")</f>
        <v/>
      </c>
      <c r="K1039">
        <f>HYPERLINK("https://twitter.com/landsecgroup?lang=en")</f>
        <v/>
      </c>
      <c r="L1039">
        <f>HYPERLINK("https://facebook.com/pages/category/Real-Estate-Company/Landsec-Group-335042077050643/")</f>
        <v/>
      </c>
      <c r="M1039" t="inlineStr">
        <is>
          <t>Winchester, United Kingdom</t>
        </is>
      </c>
      <c r="N1039" t="inlineStr">
        <is>
          <t>860</t>
        </is>
      </c>
      <c r="O1039" t="inlineStr">
        <is>
          <t>Commercial Real Estate</t>
        </is>
      </c>
      <c r="P1039" t="inlineStr">
        <is>
          <t>property investment,management &amp; development</t>
        </is>
      </c>
      <c r="Q1039" t="inlineStr">
        <is>
          <t>Not Found</t>
        </is>
      </c>
    </row>
    <row r="1040">
      <c r="A1040" t="inlineStr">
        <is>
          <t>54aa58f57468690b754b4101</t>
        </is>
      </c>
      <c r="B1040" t="inlineStr">
        <is>
          <t>Martin Lovejoy</t>
        </is>
      </c>
      <c r="C1040">
        <f>HYPERLINK("http://www.linkedin.com/in/martin-lovejoy-3b745254")</f>
        <v/>
      </c>
      <c r="D1040" t="inlineStr">
        <is>
          <t>Not Found</t>
        </is>
      </c>
      <c r="E1040" t="inlineStr">
        <is>
          <t>Director - Investment Property Management</t>
        </is>
      </c>
      <c r="F1040">
        <f>HYPERLINK("https://app.apollo.io/#/people/54aa58f57468690b754b4101")</f>
        <v/>
      </c>
      <c r="G1040" t="inlineStr">
        <is>
          <t>Colliers</t>
        </is>
      </c>
      <c r="H1040">
        <f>HYPERLINK("https://app.apollo.io/#/accounts/64aaf6c63d556a0001e8eda6")</f>
        <v/>
      </c>
      <c r="I1040">
        <f>HYPERLINK("http://www.colliers.com/")</f>
        <v/>
      </c>
      <c r="J1040">
        <f>HYPERLINK("http://www.linkedin.com/company/colliers")</f>
        <v/>
      </c>
      <c r="K1040">
        <f>HYPERLINK("https://twitter.com/Colliers")</f>
        <v/>
      </c>
      <c r="L1040">
        <f>HYPERLINK("https://facebook.com/colliersinternational/")</f>
        <v/>
      </c>
      <c r="M1040" t="inlineStr">
        <is>
          <t>London, United Kingdom</t>
        </is>
      </c>
      <c r="N1040" t="inlineStr">
        <is>
          <t>25,000</t>
        </is>
      </c>
      <c r="O1040" t="inlineStr">
        <is>
          <t>Commercial Real Estate</t>
        </is>
      </c>
      <c r="P1040" t="inlineStr">
        <is>
          <t>brokerage &amp; agency,corporate solutions</t>
        </is>
      </c>
      <c r="Q1040" t="inlineStr">
        <is>
          <t>Not Found</t>
        </is>
      </c>
    </row>
    <row r="1041">
      <c r="A1041" t="inlineStr">
        <is>
          <t>631dbdee859cd4000161fdd8</t>
        </is>
      </c>
      <c r="B1041" t="inlineStr">
        <is>
          <t>Ian Astle</t>
        </is>
      </c>
      <c r="C1041">
        <f>HYPERLINK("http://www.linkedin.com/in/ian-astle-097a59221")</f>
        <v/>
      </c>
      <c r="D1041" t="inlineStr">
        <is>
          <t>Not Found</t>
        </is>
      </c>
      <c r="E1041" t="inlineStr">
        <is>
          <t>Associate Director Building Surveyor</t>
        </is>
      </c>
      <c r="F1041">
        <f>HYPERLINK("https://app.apollo.io/#/people/631dbdee859cd4000161fdd8")</f>
        <v/>
      </c>
      <c r="G1041" t="inlineStr">
        <is>
          <t>Colliers</t>
        </is>
      </c>
      <c r="H1041">
        <f>HYPERLINK("https://app.apollo.io/#/accounts/64aaf6c63d556a0001e8eda6")</f>
        <v/>
      </c>
      <c r="I1041">
        <f>HYPERLINK("http://www.colliers.com/")</f>
        <v/>
      </c>
      <c r="J1041">
        <f>HYPERLINK("http://www.linkedin.com/company/colliers")</f>
        <v/>
      </c>
      <c r="K1041">
        <f>HYPERLINK("https://twitter.com/Colliers")</f>
        <v/>
      </c>
      <c r="L1041">
        <f>HYPERLINK("https://facebook.com/colliersinternational/")</f>
        <v/>
      </c>
      <c r="M1041" t="inlineStr">
        <is>
          <t>Manchester, United Kingdom</t>
        </is>
      </c>
      <c r="N1041" t="inlineStr">
        <is>
          <t>25,000</t>
        </is>
      </c>
      <c r="O1041" t="inlineStr">
        <is>
          <t>Commercial Real Estate</t>
        </is>
      </c>
      <c r="P1041" t="inlineStr">
        <is>
          <t>brokerage &amp; agency,corporate solutions</t>
        </is>
      </c>
      <c r="Q1041" t="inlineStr">
        <is>
          <t>Not Found</t>
        </is>
      </c>
    </row>
    <row r="1042">
      <c r="A1042" t="inlineStr">
        <is>
          <t>57e0616ca6da981bf9c189bf</t>
        </is>
      </c>
      <c r="B1042" t="inlineStr">
        <is>
          <t>Steve Callahan</t>
        </is>
      </c>
      <c r="C1042">
        <f>HYPERLINK("http://www.linkedin.com/in/steve-callahan-a2a60a66")</f>
        <v/>
      </c>
      <c r="D1042" t="inlineStr">
        <is>
          <t>Not Found</t>
        </is>
      </c>
      <c r="E1042" t="inlineStr">
        <is>
          <t>Group Sales and Marketing Director</t>
        </is>
      </c>
      <c r="F1042">
        <f>HYPERLINK("https://app.apollo.io/#/people/57e0616ca6da981bf9c189bf")</f>
        <v/>
      </c>
      <c r="G1042" t="inlineStr">
        <is>
          <t>Dawsongroup</t>
        </is>
      </c>
      <c r="H1042">
        <f>HYPERLINK("https://app.apollo.io/#/accounts/6578bdff73d31601aeef274e")</f>
        <v/>
      </c>
      <c r="I1042">
        <f>HYPERLINK("http://www.dawsongroup.co.uk/")</f>
        <v/>
      </c>
      <c r="J1042">
        <f>HYPERLINK("http://www.linkedin.com/company/dawsongroup-plc")</f>
        <v/>
      </c>
      <c r="K1042">
        <f>HYPERLINK("https://twitter.com/dawsongroupplc")</f>
        <v/>
      </c>
      <c r="L1042">
        <f>HYPERLINK("Not Found")</f>
        <v/>
      </c>
      <c r="M1042" t="inlineStr">
        <is>
          <t>United Kingdom</t>
        </is>
      </c>
      <c r="N1042" t="inlineStr">
        <is>
          <t>390</t>
        </is>
      </c>
      <c r="O1042" t="inlineStr">
        <is>
          <t>Commercial Real Estate</t>
        </is>
      </c>
      <c r="P1042" t="inlineStr">
        <is>
          <t>asset management,rental</t>
        </is>
      </c>
      <c r="Q1042" t="inlineStr">
        <is>
          <t>Not Found</t>
        </is>
      </c>
    </row>
    <row r="1043">
      <c r="A1043" t="inlineStr">
        <is>
          <t>57e04cd1a6da980db3be98b5</t>
        </is>
      </c>
      <c r="B1043" t="inlineStr">
        <is>
          <t>Karlie Forsythe</t>
        </is>
      </c>
      <c r="C1043">
        <f>HYPERLINK("http://www.linkedin.com/in/karlie-forsythe-860a5273")</f>
        <v/>
      </c>
      <c r="D1043" t="inlineStr">
        <is>
          <t>Not Found</t>
        </is>
      </c>
      <c r="E1043" t="inlineStr">
        <is>
          <t>PA to Finance Director</t>
        </is>
      </c>
      <c r="F1043">
        <f>HYPERLINK("https://app.apollo.io/#/people/57e04cd1a6da980db3be98b5")</f>
        <v/>
      </c>
      <c r="G1043" t="inlineStr">
        <is>
          <t>Derwent London</t>
        </is>
      </c>
      <c r="H1043">
        <f>HYPERLINK("https://app.apollo.io/#/organizations/5f4a1ddd9daa4e0001828553")</f>
        <v/>
      </c>
      <c r="I1043">
        <f>HYPERLINK("http://www.derwentlondon.com/")</f>
        <v/>
      </c>
      <c r="J1043">
        <f>HYPERLINK("http://www.linkedin.com/company/derwentlondon")</f>
        <v/>
      </c>
      <c r="K1043">
        <f>HYPERLINK("http://www.twitter.com/derwentlondon")</f>
        <v/>
      </c>
      <c r="L1043">
        <f>HYPERLINK("http://www.facebook.com/derwentlondon")</f>
        <v/>
      </c>
      <c r="M1043" t="inlineStr">
        <is>
          <t>London, United Kingdom</t>
        </is>
      </c>
      <c r="N1043" t="inlineStr">
        <is>
          <t>210</t>
        </is>
      </c>
      <c r="O1043" t="inlineStr">
        <is>
          <t>Commercial Real Estate</t>
        </is>
      </c>
      <c r="P1043" t="inlineStr">
        <is>
          <t>commercial real estate</t>
        </is>
      </c>
      <c r="Q1043" t="inlineStr">
        <is>
          <t>Not Found</t>
        </is>
      </c>
    </row>
    <row r="1044">
      <c r="A1044" t="inlineStr">
        <is>
          <t>5570510b7369641f07de1f00</t>
        </is>
      </c>
      <c r="B1044" t="inlineStr">
        <is>
          <t>Marian Day</t>
        </is>
      </c>
      <c r="C1044">
        <f>HYPERLINK("http://www.linkedin.com/in/marian-day-52846242")</f>
        <v/>
      </c>
      <c r="D1044" t="inlineStr">
        <is>
          <t>Not Found</t>
        </is>
      </c>
      <c r="E1044" t="inlineStr">
        <is>
          <t>Director of Property and Facilities Management</t>
        </is>
      </c>
      <c r="F1044">
        <f>HYPERLINK("https://app.apollo.io/#/people/5570510b7369641f07de1f00")</f>
        <v/>
      </c>
      <c r="G1044" t="inlineStr">
        <is>
          <t>HPH Ltd</t>
        </is>
      </c>
      <c r="H1044">
        <f>HYPERLINK("https://app.apollo.io/#/organizations/54a1296b69702db6489f8d01")</f>
        <v/>
      </c>
      <c r="I1044">
        <f>HYPERLINK("http://www.hph.co.uk/")</f>
        <v/>
      </c>
      <c r="J1044">
        <f>HYPERLINK("http://www.linkedin.com/company/hph-ltd")</f>
        <v/>
      </c>
      <c r="K1044">
        <f>HYPERLINK("https://twitter.com/HPHUK")</f>
        <v/>
      </c>
      <c r="L1044">
        <f>HYPERLINK("Not Found")</f>
        <v/>
      </c>
      <c r="M1044" t="inlineStr">
        <is>
          <t>Bath, United Kingdom</t>
        </is>
      </c>
      <c r="N1044" t="inlineStr">
        <is>
          <t>14</t>
        </is>
      </c>
      <c r="O1044" t="inlineStr">
        <is>
          <t>Commercial Real Estate</t>
        </is>
      </c>
      <c r="P1044" t="inlineStr">
        <is>
          <t>period property refurbishment,energy efficiency &amp; environmental performance</t>
        </is>
      </c>
      <c r="Q1044" t="inlineStr">
        <is>
          <t>Not Found</t>
        </is>
      </c>
    </row>
    <row r="1045">
      <c r="A1045" t="inlineStr">
        <is>
          <t>5abd9996a6da98410551a813</t>
        </is>
      </c>
      <c r="B1045" t="inlineStr">
        <is>
          <t>Lisa Lane</t>
        </is>
      </c>
      <c r="C1045">
        <f>HYPERLINK("http://www.linkedin.com/in/lisa-lane-332b4027")</f>
        <v/>
      </c>
      <c r="D1045" t="inlineStr">
        <is>
          <t>Not Found</t>
        </is>
      </c>
      <c r="E1045" t="inlineStr">
        <is>
          <t>QHSE Director Standards &amp; Assurance</t>
        </is>
      </c>
      <c r="F1045">
        <f>HYPERLINK("https://app.apollo.io/#/people/5abd9996a6da98410551a813")</f>
        <v/>
      </c>
      <c r="G1045" t="inlineStr">
        <is>
          <t>CBRE Global Workplace Solutions (GWS)</t>
        </is>
      </c>
      <c r="H1045">
        <f>HYPERLINK("https://app.apollo.io/#/accounts/6509fed6f449800001b69a15")</f>
        <v/>
      </c>
      <c r="I1045">
        <f>HYPERLINK("http://www.coor.com/")</f>
        <v/>
      </c>
      <c r="J1045">
        <f>HYPERLINK("http://www.linkedin.com/company/cbre-gws")</f>
        <v/>
      </c>
      <c r="K1045">
        <f>HYPERLINK("Not Found")</f>
        <v/>
      </c>
      <c r="L1045">
        <f>HYPERLINK("Not Found")</f>
        <v/>
      </c>
      <c r="M1045" t="inlineStr">
        <is>
          <t>London, United Kingdom</t>
        </is>
      </c>
      <c r="N1045" t="inlineStr">
        <is>
          <t>15,000</t>
        </is>
      </c>
      <c r="O1045" t="inlineStr">
        <is>
          <t>Commercial Real Estate</t>
        </is>
      </c>
      <c r="P1045" t="inlineStr">
        <is>
          <t>project management,advisory,transaction services</t>
        </is>
      </c>
      <c r="Q1045" t="inlineStr">
        <is>
          <t>Not Found</t>
        </is>
      </c>
    </row>
    <row r="1046">
      <c r="A1046" t="inlineStr">
        <is>
          <t>54a61ab074686934428b74c2</t>
        </is>
      </c>
      <c r="B1046" t="inlineStr">
        <is>
          <t>Scott Rance</t>
        </is>
      </c>
      <c r="C1046">
        <f>HYPERLINK("http://www.linkedin.com/in/scott-rance-b2489574")</f>
        <v/>
      </c>
      <c r="D1046" t="inlineStr">
        <is>
          <t>Not Found</t>
        </is>
      </c>
      <c r="E1046" t="inlineStr">
        <is>
          <t>Director - Head of Data &amp; Reporting</t>
        </is>
      </c>
      <c r="F1046">
        <f>HYPERLINK("https://app.apollo.io/#/people/54a61ab074686934428b74c2")</f>
        <v/>
      </c>
      <c r="G1046" t="inlineStr">
        <is>
          <t>Colliers</t>
        </is>
      </c>
      <c r="H1046">
        <f>HYPERLINK("https://app.apollo.io/#/accounts/64aaf6c63d556a0001e8eda6")</f>
        <v/>
      </c>
      <c r="I1046">
        <f>HYPERLINK("http://www.colliers.com/")</f>
        <v/>
      </c>
      <c r="J1046">
        <f>HYPERLINK("http://www.linkedin.com/company/colliers")</f>
        <v/>
      </c>
      <c r="K1046">
        <f>HYPERLINK("https://twitter.com/Colliers")</f>
        <v/>
      </c>
      <c r="L1046">
        <f>HYPERLINK("https://facebook.com/colliersinternational/")</f>
        <v/>
      </c>
      <c r="M1046" t="inlineStr">
        <is>
          <t>United Kingdom</t>
        </is>
      </c>
      <c r="N1046" t="inlineStr">
        <is>
          <t>25,000</t>
        </is>
      </c>
      <c r="O1046" t="inlineStr">
        <is>
          <t>Commercial Real Estate</t>
        </is>
      </c>
      <c r="P1046" t="inlineStr">
        <is>
          <t>brokerage &amp; agency,corporate solutions</t>
        </is>
      </c>
      <c r="Q1046" t="inlineStr">
        <is>
          <t>Not Found</t>
        </is>
      </c>
    </row>
    <row r="1047">
      <c r="A1047" t="inlineStr">
        <is>
          <t>60bbf0e24fdc5f0001dcd2a9</t>
        </is>
      </c>
      <c r="B1047" t="inlineStr">
        <is>
          <t>Cherie Kennett</t>
        </is>
      </c>
      <c r="C1047">
        <f>HYPERLINK("http://www.linkedin.com/in/cherie-kennett-471414203")</f>
        <v/>
      </c>
      <c r="D1047" t="inlineStr">
        <is>
          <t>Not Found</t>
        </is>
      </c>
      <c r="E1047" t="inlineStr">
        <is>
          <t>Associate Director/General Manager</t>
        </is>
      </c>
      <c r="F1047">
        <f>HYPERLINK("https://app.apollo.io/#/people/60bbf0e24fdc5f0001dcd2a9")</f>
        <v/>
      </c>
      <c r="G1047" t="inlineStr">
        <is>
          <t>Colliers</t>
        </is>
      </c>
      <c r="H1047">
        <f>HYPERLINK("https://app.apollo.io/#/accounts/64aaf6c63d556a0001e8eda6")</f>
        <v/>
      </c>
      <c r="I1047">
        <f>HYPERLINK("http://www.colliers.com/")</f>
        <v/>
      </c>
      <c r="J1047">
        <f>HYPERLINK("http://www.linkedin.com/company/colliers")</f>
        <v/>
      </c>
      <c r="K1047">
        <f>HYPERLINK("https://twitter.com/Colliers")</f>
        <v/>
      </c>
      <c r="L1047">
        <f>HYPERLINK("https://facebook.com/colliersinternational/")</f>
        <v/>
      </c>
      <c r="M1047" t="inlineStr">
        <is>
          <t>Bedford, United Kingdom</t>
        </is>
      </c>
      <c r="N1047" t="inlineStr">
        <is>
          <t>25,000</t>
        </is>
      </c>
      <c r="O1047" t="inlineStr">
        <is>
          <t>Commercial Real Estate</t>
        </is>
      </c>
      <c r="P1047" t="inlineStr">
        <is>
          <t>brokerage &amp; agency,corporate solutions</t>
        </is>
      </c>
      <c r="Q1047" t="inlineStr">
        <is>
          <t>Not Found</t>
        </is>
      </c>
    </row>
    <row r="1048">
      <c r="A1048" t="inlineStr">
        <is>
          <t>54c28dd174686916391ceaa6</t>
        </is>
      </c>
      <c r="B1048" t="inlineStr">
        <is>
          <t>Alyse Klein</t>
        </is>
      </c>
      <c r="C1048">
        <f>HYPERLINK("http://www.linkedin.com/in/alyse-klein-46232b38")</f>
        <v/>
      </c>
      <c r="D1048" t="inlineStr">
        <is>
          <t>Not Found</t>
        </is>
      </c>
      <c r="E1048" t="inlineStr">
        <is>
          <t>Global Account Finance Director</t>
        </is>
      </c>
      <c r="F1048">
        <f>HYPERLINK("https://app.apollo.io/#/people/54c28dd174686916391ceaa6")</f>
        <v/>
      </c>
      <c r="G1048" t="inlineStr">
        <is>
          <t>CBRE Global Workplace Solutions (GWS)</t>
        </is>
      </c>
      <c r="H1048">
        <f>HYPERLINK("https://app.apollo.io/#/accounts/6509fed6f449800001b69a15")</f>
        <v/>
      </c>
      <c r="I1048">
        <f>HYPERLINK("http://www.coor.com/")</f>
        <v/>
      </c>
      <c r="J1048">
        <f>HYPERLINK("http://www.linkedin.com/company/cbre-gws")</f>
        <v/>
      </c>
      <c r="K1048">
        <f>HYPERLINK("Not Found")</f>
        <v/>
      </c>
      <c r="L1048">
        <f>HYPERLINK("Not Found")</f>
        <v/>
      </c>
      <c r="M1048" t="inlineStr">
        <is>
          <t>London, United Kingdom</t>
        </is>
      </c>
      <c r="N1048" t="inlineStr">
        <is>
          <t>15,000</t>
        </is>
      </c>
      <c r="O1048" t="inlineStr">
        <is>
          <t>Commercial Real Estate</t>
        </is>
      </c>
      <c r="P1048" t="inlineStr">
        <is>
          <t>project management,advisory,transaction services</t>
        </is>
      </c>
      <c r="Q1048" t="inlineStr">
        <is>
          <t>Not Found</t>
        </is>
      </c>
    </row>
    <row r="1049">
      <c r="A1049" t="inlineStr">
        <is>
          <t>6530ad6d632e6e0001e447a4</t>
        </is>
      </c>
      <c r="B1049" t="inlineStr">
        <is>
          <t>Richard Lawrence</t>
        </is>
      </c>
      <c r="C1049">
        <f>HYPERLINK("http://www.linkedin.com/in/richard-lawrence-5a976525")</f>
        <v/>
      </c>
      <c r="D1049" t="inlineStr">
        <is>
          <t>Not Found</t>
        </is>
      </c>
      <c r="E1049" t="inlineStr">
        <is>
          <t>Director - Logistics and Industrial</t>
        </is>
      </c>
      <c r="F1049">
        <f>HYPERLINK("https://app.apollo.io/#/people/6530ad6d632e6e0001e447a4")</f>
        <v/>
      </c>
      <c r="G1049" t="inlineStr">
        <is>
          <t>Colliers</t>
        </is>
      </c>
      <c r="H1049">
        <f>HYPERLINK("https://app.apollo.io/#/accounts/64aaf6c63d556a0001e8eda6")</f>
        <v/>
      </c>
      <c r="I1049">
        <f>HYPERLINK("http://www.colliers.com/")</f>
        <v/>
      </c>
      <c r="J1049">
        <f>HYPERLINK("http://www.linkedin.com/company/colliers")</f>
        <v/>
      </c>
      <c r="K1049">
        <f>HYPERLINK("https://twitter.com/Colliers")</f>
        <v/>
      </c>
      <c r="L1049">
        <f>HYPERLINK("https://facebook.com/colliersinternational/")</f>
        <v/>
      </c>
      <c r="M1049" t="inlineStr">
        <is>
          <t>England, United Kingdom</t>
        </is>
      </c>
      <c r="N1049" t="inlineStr">
        <is>
          <t>25,000</t>
        </is>
      </c>
      <c r="O1049" t="inlineStr">
        <is>
          <t>Commercial Real Estate</t>
        </is>
      </c>
      <c r="P1049" t="inlineStr">
        <is>
          <t>brokerage &amp; agency,corporate solutions</t>
        </is>
      </c>
      <c r="Q1049" t="inlineStr">
        <is>
          <t>Not Found</t>
        </is>
      </c>
    </row>
    <row r="1050">
      <c r="A1050" t="inlineStr">
        <is>
          <t>6113f4b60237ff0001276173</t>
        </is>
      </c>
      <c r="B1050" t="inlineStr">
        <is>
          <t>Joe Gaylor</t>
        </is>
      </c>
      <c r="C1050">
        <f>HYPERLINK("http://www.linkedin.com/in/joe-gaylor-4b765b45")</f>
        <v/>
      </c>
      <c r="D1050" t="inlineStr">
        <is>
          <t>Not Found</t>
        </is>
      </c>
      <c r="E1050" t="inlineStr">
        <is>
          <t>Associate Director - Energy &amp; Sustainability</t>
        </is>
      </c>
      <c r="F1050">
        <f>HYPERLINK("https://app.apollo.io/#/people/6113f4b60237ff0001276173")</f>
        <v/>
      </c>
      <c r="G1050" t="inlineStr">
        <is>
          <t>Colliers</t>
        </is>
      </c>
      <c r="H1050">
        <f>HYPERLINK("https://app.apollo.io/#/accounts/6578c2e248f92e02cc97a7cd")</f>
        <v/>
      </c>
      <c r="I1050">
        <f>HYPERLINK("http://www.colliers.com/")</f>
        <v/>
      </c>
      <c r="J1050">
        <f>HYPERLINK("http://www.linkedin.com/company/colliers")</f>
        <v/>
      </c>
      <c r="K1050">
        <f>HYPERLINK("https://twitter.com/collierscanada")</f>
        <v/>
      </c>
      <c r="L1050">
        <f>HYPERLINK("Not Found")</f>
        <v/>
      </c>
      <c r="M1050" t="inlineStr">
        <is>
          <t>England, United Kingdom</t>
        </is>
      </c>
      <c r="N1050" t="inlineStr">
        <is>
          <t>25,000</t>
        </is>
      </c>
      <c r="O1050" t="inlineStr">
        <is>
          <t>Commercial Real Estate</t>
        </is>
      </c>
      <c r="P1050" t="inlineStr">
        <is>
          <t>brokerage &amp; agency,corporate solutions</t>
        </is>
      </c>
      <c r="Q1050" t="inlineStr">
        <is>
          <t>Not Found</t>
        </is>
      </c>
    </row>
    <row r="1051">
      <c r="A1051" t="inlineStr">
        <is>
          <t>57d4bc44a6da98538e7bb225</t>
        </is>
      </c>
      <c r="B1051" t="inlineStr">
        <is>
          <t>Kerry Starling</t>
        </is>
      </c>
      <c r="C1051">
        <f>HYPERLINK("http://www.linkedin.com/in/kerry-starling-47a17741")</f>
        <v/>
      </c>
      <c r="D1051" t="inlineStr">
        <is>
          <t>Not Found</t>
        </is>
      </c>
      <c r="E1051" t="inlineStr">
        <is>
          <t>Director, HR &amp; Administration</t>
        </is>
      </c>
      <c r="F1051">
        <f>HYPERLINK("https://app.apollo.io/#/people/57d4bc44a6da98538e7bb225")</f>
        <v/>
      </c>
      <c r="G1051" t="inlineStr">
        <is>
          <t>Brasier Freeth</t>
        </is>
      </c>
      <c r="H1051">
        <f>HYPERLINK("https://app.apollo.io/#/accounts/6578bf3accf69c02cc54f192")</f>
        <v/>
      </c>
      <c r="I1051">
        <f>HYPERLINK("http://www.brasierfreeth.com/")</f>
        <v/>
      </c>
      <c r="J1051">
        <f>HYPERLINK("http://www.linkedin.com/company/brasier-freeth-llp")</f>
        <v/>
      </c>
      <c r="K1051">
        <f>HYPERLINK("https://twitter.com/brasierfreeth")</f>
        <v/>
      </c>
      <c r="L1051">
        <f>HYPERLINK("Not Found")</f>
        <v/>
      </c>
      <c r="M1051" t="inlineStr">
        <is>
          <t>Southend-on-Sea, United Kingdom</t>
        </is>
      </c>
      <c r="N1051" t="inlineStr">
        <is>
          <t>37</t>
        </is>
      </c>
      <c r="O1051" t="inlineStr">
        <is>
          <t>Commercial Real Estate</t>
        </is>
      </c>
      <c r="P1051" t="inlineStr">
        <is>
          <t>commercial property acquisitions,disposals</t>
        </is>
      </c>
      <c r="Q1051" t="inlineStr">
        <is>
          <t>Not Found</t>
        </is>
      </c>
    </row>
    <row r="1052">
      <c r="A1052" t="inlineStr">
        <is>
          <t>57d8daefa6da9872927ed172</t>
        </is>
      </c>
      <c r="B1052" t="inlineStr">
        <is>
          <t>Nick Woodcock</t>
        </is>
      </c>
      <c r="C1052">
        <f>HYPERLINK("http://www.linkedin.com/in/nick-woodcock-99889943")</f>
        <v/>
      </c>
      <c r="D1052" t="inlineStr">
        <is>
          <t>Not Found</t>
        </is>
      </c>
      <c r="E1052" t="inlineStr">
        <is>
          <t>Associate Director of Building Surveying</t>
        </is>
      </c>
      <c r="F1052">
        <f>HYPERLINK("https://app.apollo.io/#/people/57d8daefa6da9872927ed172")</f>
        <v/>
      </c>
      <c r="G1052" t="inlineStr">
        <is>
          <t>Landsec</t>
        </is>
      </c>
      <c r="H1052">
        <f>HYPERLINK("https://app.apollo.io/#/accounts/6578b86a75dc3a02ccc995c8")</f>
        <v/>
      </c>
      <c r="I1052">
        <f>HYPERLINK("http://www.landsec.com/")</f>
        <v/>
      </c>
      <c r="J1052">
        <f>HYPERLINK("http://www.linkedin.com/company/landsec")</f>
        <v/>
      </c>
      <c r="K1052">
        <f>HYPERLINK("https://twitter.com/landsecgroup?lang=en")</f>
        <v/>
      </c>
      <c r="L1052">
        <f>HYPERLINK("https://facebook.com/pages/category/Real-Estate-Company/Landsec-Group-335042077050643/")</f>
        <v/>
      </c>
      <c r="M1052" t="inlineStr">
        <is>
          <t>Hassocks, United Kingdom</t>
        </is>
      </c>
      <c r="N1052" t="inlineStr">
        <is>
          <t>860</t>
        </is>
      </c>
      <c r="O1052" t="inlineStr">
        <is>
          <t>Commercial Real Estate</t>
        </is>
      </c>
      <c r="P1052" t="inlineStr">
        <is>
          <t>property investment,management &amp; development</t>
        </is>
      </c>
      <c r="Q1052" t="inlineStr">
        <is>
          <t>Not Found</t>
        </is>
      </c>
    </row>
    <row r="1053">
      <c r="A1053" t="inlineStr">
        <is>
          <t>6578c1ef1823b201ae2f2dc0</t>
        </is>
      </c>
      <c r="B1053" t="inlineStr">
        <is>
          <t>Matt Sharman</t>
        </is>
      </c>
      <c r="C1053">
        <f>HYPERLINK("http://www.linkedin.com/in/matt-sharman-799bba75")</f>
        <v/>
      </c>
      <c r="D1053" t="inlineStr">
        <is>
          <t>Not Found</t>
        </is>
      </c>
      <c r="E1053" t="inlineStr">
        <is>
          <t>Residential Development &amp; Investment Partner</t>
        </is>
      </c>
      <c r="F1053">
        <f>HYPERLINK("https://app.apollo.io/#/contacts/6578c1ef1823b201ae2f2dc0")</f>
        <v/>
      </c>
      <c r="G1053" t="inlineStr">
        <is>
          <t>Levy Real Estate</t>
        </is>
      </c>
      <c r="H1053">
        <f>HYPERLINK("https://app.apollo.io/#/accounts/6578bf7ebeafb901ae2d44bf")</f>
        <v/>
      </c>
      <c r="I1053">
        <f>HYPERLINK("http://www.levyrealestate.co.uk/")</f>
        <v/>
      </c>
      <c r="J1053">
        <f>HYPERLINK("http://www.linkedin.com/company/levyrealestate")</f>
        <v/>
      </c>
      <c r="K1053">
        <f>HYPERLINK("Not Found")</f>
        <v/>
      </c>
      <c r="L1053">
        <f>HYPERLINK("Not Found")</f>
        <v/>
      </c>
      <c r="M1053" t="inlineStr">
        <is>
          <t>London, United Kingdom</t>
        </is>
      </c>
      <c r="N1053" t="inlineStr">
        <is>
          <t>50</t>
        </is>
      </c>
      <c r="O1053" t="inlineStr">
        <is>
          <t>Commercial Real Estate</t>
        </is>
      </c>
      <c r="Q1053" t="inlineStr">
        <is>
          <t>+442077470110</t>
        </is>
      </c>
    </row>
    <row r="1054">
      <c r="A1054" t="inlineStr">
        <is>
          <t>6578c21b1823b201ae2f2ef2</t>
        </is>
      </c>
      <c r="B1054" t="inlineStr">
        <is>
          <t>Hayley Pither</t>
        </is>
      </c>
      <c r="C1054">
        <f>HYPERLINK("http://www.linkedin.com/in/hayleypither")</f>
        <v/>
      </c>
      <c r="D1054" t="inlineStr">
        <is>
          <t>Not Found</t>
        </is>
      </c>
      <c r="E1054" t="inlineStr">
        <is>
          <t>HR Acquisitions Partner</t>
        </is>
      </c>
      <c r="F1054">
        <f>HYPERLINK("https://app.apollo.io/#/contacts/6578c21b1823b201ae2f2ef2")</f>
        <v/>
      </c>
      <c r="G1054" t="inlineStr">
        <is>
          <t>Leaders Romans Group</t>
        </is>
      </c>
      <c r="H1054">
        <f>HYPERLINK("https://app.apollo.io/#/accounts/6578b8bc85cede01ae5c466b")</f>
        <v/>
      </c>
      <c r="I1054">
        <f>HYPERLINK("http://www.lrg.co.uk/")</f>
        <v/>
      </c>
      <c r="J1054">
        <f>HYPERLINK("http://www.linkedin.com/company/leaders-romans-group")</f>
        <v/>
      </c>
      <c r="K1054">
        <f>HYPERLINK("Not Found")</f>
        <v/>
      </c>
      <c r="L1054">
        <f>HYPERLINK("Not Found")</f>
        <v/>
      </c>
      <c r="M1054" t="inlineStr">
        <is>
          <t>Redditch, United Kingdom</t>
        </is>
      </c>
      <c r="N1054" t="inlineStr">
        <is>
          <t>2,600</t>
        </is>
      </c>
      <c r="O1054" t="inlineStr">
        <is>
          <t>Commercial Real Estate</t>
        </is>
      </c>
      <c r="P1054" t="inlineStr">
        <is>
          <t>estate agency,lettings,property investment</t>
        </is>
      </c>
      <c r="Q1054" t="inlineStr">
        <is>
          <t>+447739468225</t>
        </is>
      </c>
    </row>
    <row r="1055">
      <c r="A1055" t="inlineStr">
        <is>
          <t>6578c2121823b203f32f0f13</t>
        </is>
      </c>
      <c r="B1055" t="inlineStr">
        <is>
          <t>Kathryn Barry</t>
        </is>
      </c>
      <c r="C1055">
        <f>HYPERLINK("http://www.linkedin.com/in/kathryn-barry-97182612")</f>
        <v/>
      </c>
      <c r="D1055" t="inlineStr">
        <is>
          <t>Not Found</t>
        </is>
      </c>
      <c r="E1055" t="inlineStr">
        <is>
          <t>Human Resources Business Partner</t>
        </is>
      </c>
      <c r="F1055">
        <f>HYPERLINK("https://app.apollo.io/#/contacts/6578c2121823b203f32f0f13")</f>
        <v/>
      </c>
      <c r="G1055" t="inlineStr">
        <is>
          <t>Landsec</t>
        </is>
      </c>
      <c r="H1055">
        <f>HYPERLINK("https://app.apollo.io/#/accounts/6578b86a75dc3a02ccc995c8")</f>
        <v/>
      </c>
      <c r="I1055">
        <f>HYPERLINK("http://www.landsec.com/")</f>
        <v/>
      </c>
      <c r="J1055">
        <f>HYPERLINK("http://www.linkedin.com/company/landsec")</f>
        <v/>
      </c>
      <c r="K1055">
        <f>HYPERLINK("https://twitter.com/landsecgroup?lang=en")</f>
        <v/>
      </c>
      <c r="L1055">
        <f>HYPERLINK("https://facebook.com/pages/category/Real-Estate-Company/Landsec-Group-335042077050643/")</f>
        <v/>
      </c>
      <c r="M1055" t="inlineStr">
        <is>
          <t>London, United Kingdom</t>
        </is>
      </c>
      <c r="N1055" t="inlineStr">
        <is>
          <t>860</t>
        </is>
      </c>
      <c r="O1055" t="inlineStr">
        <is>
          <t>Commercial Real Estate</t>
        </is>
      </c>
      <c r="P1055" t="inlineStr">
        <is>
          <t>property investment,management &amp; development</t>
        </is>
      </c>
      <c r="Q1055" t="inlineStr">
        <is>
          <t>+442073068566</t>
        </is>
      </c>
    </row>
    <row r="1056">
      <c r="A1056" t="inlineStr">
        <is>
          <t>6578c1f71823b203f32f0ee4</t>
        </is>
      </c>
      <c r="B1056" t="inlineStr">
        <is>
          <t>Elisa Herbert</t>
        </is>
      </c>
      <c r="C1056">
        <f>HYPERLINK("http://www.linkedin.com/in/elisa-herbert-23744987")</f>
        <v/>
      </c>
      <c r="D1056" t="inlineStr">
        <is>
          <t>Not Found</t>
        </is>
      </c>
      <c r="E1056" t="inlineStr">
        <is>
          <t>HR Business Partner</t>
        </is>
      </c>
      <c r="F1056">
        <f>HYPERLINK("https://app.apollo.io/#/contacts/6578c1f71823b203f32f0ee4")</f>
        <v/>
      </c>
      <c r="G1056" t="inlineStr">
        <is>
          <t>CoStar Group</t>
        </is>
      </c>
      <c r="H1056">
        <f>HYPERLINK("https://app.apollo.io/#/accounts/6578be77ccf69c01ae54f373")</f>
        <v/>
      </c>
      <c r="I1056">
        <f>HYPERLINK("http://www.costargroup.com/")</f>
        <v/>
      </c>
      <c r="J1056">
        <f>HYPERLINK("http://www.linkedin.com/company/costar-group")</f>
        <v/>
      </c>
      <c r="K1056">
        <f>HYPERLINK("http://twitter.com/TheCoStarGroup")</f>
        <v/>
      </c>
      <c r="L1056">
        <f>HYPERLINK("http://www.facebook.com/CoStarGroup")</f>
        <v/>
      </c>
      <c r="M1056" t="inlineStr">
        <is>
          <t>England, United Kingdom</t>
        </is>
      </c>
      <c r="N1056" t="inlineStr">
        <is>
          <t>6,300</t>
        </is>
      </c>
      <c r="O1056" t="inlineStr">
        <is>
          <t>Commercial Real Estate</t>
        </is>
      </c>
      <c r="P1056" t="inlineStr">
        <is>
          <t>information technology,research</t>
        </is>
      </c>
      <c r="Q1056" t="inlineStr">
        <is>
          <t>+447342713691</t>
        </is>
      </c>
    </row>
    <row r="1057">
      <c r="A1057" t="inlineStr">
        <is>
          <t>6578c2351823b2051e2f09c1</t>
        </is>
      </c>
      <c r="B1057" t="inlineStr">
        <is>
          <t>Jasmin Gunkar</t>
        </is>
      </c>
      <c r="C1057">
        <f>HYPERLINK("http://www.linkedin.com/in/jasmin-gunkar-958a59260")</f>
        <v/>
      </c>
      <c r="D1057" t="inlineStr">
        <is>
          <t>Not Found</t>
        </is>
      </c>
      <c r="E1057" t="inlineStr">
        <is>
          <t>Supplier Partner Operations Manager</t>
        </is>
      </c>
      <c r="F1057">
        <f>HYPERLINK("https://app.apollo.io/#/contacts/6578c2351823b2051e2f09c1")</f>
        <v/>
      </c>
      <c r="G1057" t="inlineStr">
        <is>
          <t>CBRE Global Workplace Solutions (GWS)</t>
        </is>
      </c>
      <c r="H1057">
        <f>HYPERLINK("https://app.apollo.io/#/accounts/6509fed6f449800001b69a15")</f>
        <v/>
      </c>
      <c r="I1057">
        <f>HYPERLINK("http://www.coor.com/")</f>
        <v/>
      </c>
      <c r="J1057">
        <f>HYPERLINK("http://www.linkedin.com/company/cbre-gws")</f>
        <v/>
      </c>
      <c r="K1057">
        <f>HYPERLINK("Not Found")</f>
        <v/>
      </c>
      <c r="L1057">
        <f>HYPERLINK("Not Found")</f>
        <v/>
      </c>
      <c r="M1057" t="inlineStr">
        <is>
          <t>Kingston upon Thames, United Kingdom</t>
        </is>
      </c>
      <c r="N1057" t="inlineStr">
        <is>
          <t>15,000</t>
        </is>
      </c>
      <c r="O1057" t="inlineStr">
        <is>
          <t>Commercial Real Estate</t>
        </is>
      </c>
      <c r="P1057" t="inlineStr">
        <is>
          <t>project management,advisory,transaction services</t>
        </is>
      </c>
      <c r="Q1057" t="inlineStr">
        <is>
          <t>Not Found</t>
        </is>
      </c>
    </row>
    <row r="1058">
      <c r="A1058" t="inlineStr">
        <is>
          <t>6578c2581823b201ae2f3081</t>
        </is>
      </c>
      <c r="B1058" t="inlineStr">
        <is>
          <t>Gemma Hall</t>
        </is>
      </c>
      <c r="C1058">
        <f>HYPERLINK("http://www.linkedin.com/in/gemma-hall-3978589a")</f>
        <v/>
      </c>
      <c r="D1058" t="inlineStr">
        <is>
          <t>Not Found</t>
        </is>
      </c>
      <c r="E1058" t="inlineStr">
        <is>
          <t>Client Finance Banking Partner</t>
        </is>
      </c>
      <c r="F1058">
        <f>HYPERLINK("https://app.apollo.io/#/contacts/6578c2581823b201ae2f3081")</f>
        <v/>
      </c>
      <c r="G1058" t="inlineStr">
        <is>
          <t>Leaders Romans Group</t>
        </is>
      </c>
      <c r="H1058">
        <f>HYPERLINK("https://app.apollo.io/#/accounts/6578b8bc85cede01ae5c466b")</f>
        <v/>
      </c>
      <c r="I1058">
        <f>HYPERLINK("http://www.lrg.co.uk/")</f>
        <v/>
      </c>
      <c r="J1058">
        <f>HYPERLINK("http://www.linkedin.com/company/leaders-romans-group")</f>
        <v/>
      </c>
      <c r="K1058">
        <f>HYPERLINK("Not Found")</f>
        <v/>
      </c>
      <c r="L1058">
        <f>HYPERLINK("Not Found")</f>
        <v/>
      </c>
      <c r="M1058" t="inlineStr">
        <is>
          <t>Wokingham, United Kingdom</t>
        </is>
      </c>
      <c r="N1058" t="inlineStr">
        <is>
          <t>2,600</t>
        </is>
      </c>
      <c r="O1058" t="inlineStr">
        <is>
          <t>Commercial Real Estate</t>
        </is>
      </c>
      <c r="P1058" t="inlineStr">
        <is>
          <t>estate agency,lettings,property investment</t>
        </is>
      </c>
      <c r="Q1058" t="inlineStr">
        <is>
          <t>+441344753230</t>
        </is>
      </c>
    </row>
    <row r="1059">
      <c r="A1059" t="inlineStr">
        <is>
          <t>649985e48b30a100013425aa</t>
        </is>
      </c>
      <c r="B1059" t="inlineStr">
        <is>
          <t>Jason Farrimond</t>
        </is>
      </c>
      <c r="C1059">
        <f>HYPERLINK("http://www.linkedin.com/in/jason-farrimond-mrics-52899a84")</f>
        <v/>
      </c>
      <c r="D1059" t="inlineStr">
        <is>
          <t>Not Found</t>
        </is>
      </c>
      <c r="E1059" t="inlineStr">
        <is>
          <t>Associate Director, Land &amp; New Homes</t>
        </is>
      </c>
      <c r="F1059">
        <f>HYPERLINK("https://app.apollo.io/#/people/649985e48b30a100013425aa")</f>
        <v/>
      </c>
      <c r="G1059" t="inlineStr">
        <is>
          <t>Leaders Romans Group</t>
        </is>
      </c>
      <c r="H1059">
        <f>HYPERLINK("https://app.apollo.io/#/accounts/6578b8bc85cede01ae5c466b")</f>
        <v/>
      </c>
      <c r="I1059">
        <f>HYPERLINK("http://www.lrg.co.uk/")</f>
        <v/>
      </c>
      <c r="J1059">
        <f>HYPERLINK("http://www.linkedin.com/company/leaders-romans-group")</f>
        <v/>
      </c>
      <c r="K1059">
        <f>HYPERLINK("Not Found")</f>
        <v/>
      </c>
      <c r="L1059">
        <f>HYPERLINK("Not Found")</f>
        <v/>
      </c>
      <c r="M1059" t="inlineStr">
        <is>
          <t>Reading, United Kingdom</t>
        </is>
      </c>
      <c r="N1059" t="inlineStr">
        <is>
          <t>2,600</t>
        </is>
      </c>
      <c r="O1059" t="inlineStr">
        <is>
          <t>Commercial Real Estate</t>
        </is>
      </c>
      <c r="P1059" t="inlineStr">
        <is>
          <t>estate agency,lettings,property investment</t>
        </is>
      </c>
      <c r="Q1059" t="inlineStr">
        <is>
          <t>Not Found</t>
        </is>
      </c>
    </row>
    <row r="1060">
      <c r="A1060" t="inlineStr">
        <is>
          <t>54eb023e74686931b8a7fc05</t>
        </is>
      </c>
      <c r="B1060" t="inlineStr">
        <is>
          <t>Gavin McCosh</t>
        </is>
      </c>
      <c r="C1060">
        <f>HYPERLINK("http://www.linkedin.com/in/gavinmccosh")</f>
        <v/>
      </c>
      <c r="D1060" t="inlineStr">
        <is>
          <t>Not Found</t>
        </is>
      </c>
      <c r="E1060" t="inlineStr">
        <is>
          <t>Director Building Consultancy - PBC Leadership</t>
        </is>
      </c>
      <c r="F1060">
        <f>HYPERLINK("https://app.apollo.io/#/people/54eb023e74686931b8a7fc05")</f>
        <v/>
      </c>
      <c r="G1060" t="inlineStr">
        <is>
          <t>Colliers</t>
        </is>
      </c>
      <c r="H1060">
        <f>HYPERLINK("https://app.apollo.io/#/accounts/64aaf6c63d556a0001e8eda6")</f>
        <v/>
      </c>
      <c r="I1060">
        <f>HYPERLINK("http://www.colliers.com/")</f>
        <v/>
      </c>
      <c r="J1060">
        <f>HYPERLINK("http://www.linkedin.com/company/colliers")</f>
        <v/>
      </c>
      <c r="K1060">
        <f>HYPERLINK("https://twitter.com/Colliers")</f>
        <v/>
      </c>
      <c r="L1060">
        <f>HYPERLINK("https://facebook.com/colliersinternational/")</f>
        <v/>
      </c>
      <c r="M1060" t="inlineStr">
        <is>
          <t>London, United Kingdom</t>
        </is>
      </c>
      <c r="N1060" t="inlineStr">
        <is>
          <t>25,000</t>
        </is>
      </c>
      <c r="O1060" t="inlineStr">
        <is>
          <t>Commercial Real Estate</t>
        </is>
      </c>
      <c r="P1060" t="inlineStr">
        <is>
          <t>brokerage &amp; agency,corporate solutions,investment services</t>
        </is>
      </c>
      <c r="Q1060" t="inlineStr">
        <is>
          <t>Not Found</t>
        </is>
      </c>
    </row>
    <row r="1061">
      <c r="A1061" t="inlineStr">
        <is>
          <t>6115095afe8fb4000180ac07</t>
        </is>
      </c>
      <c r="B1061" t="inlineStr">
        <is>
          <t>Chris Goulden</t>
        </is>
      </c>
      <c r="C1061">
        <f>HYPERLINK("http://www.linkedin.com/in/chrisgouldenfccamba")</f>
        <v/>
      </c>
      <c r="D1061" t="inlineStr">
        <is>
          <t>Not Found</t>
        </is>
      </c>
      <c r="E1061" t="inlineStr">
        <is>
          <t>Finance Director - Central Europe &amp; Nordics</t>
        </is>
      </c>
      <c r="F1061">
        <f>HYPERLINK("https://app.apollo.io/#/people/6115095afe8fb4000180ac07")</f>
        <v/>
      </c>
      <c r="G1061" t="inlineStr">
        <is>
          <t>CBRE Global Workplace Solutions (GWS)</t>
        </is>
      </c>
      <c r="H1061">
        <f>HYPERLINK("https://app.apollo.io/#/accounts/6509fed6f449800001b69a15")</f>
        <v/>
      </c>
      <c r="I1061">
        <f>HYPERLINK("http://www.coor.com/")</f>
        <v/>
      </c>
      <c r="J1061">
        <f>HYPERLINK("http://www.linkedin.com/company/cbre-gws")</f>
        <v/>
      </c>
      <c r="K1061">
        <f>HYPERLINK("Not Found")</f>
        <v/>
      </c>
      <c r="L1061">
        <f>HYPERLINK("Not Found")</f>
        <v/>
      </c>
      <c r="M1061" t="inlineStr">
        <is>
          <t>London, United Kingdom</t>
        </is>
      </c>
      <c r="N1061" t="inlineStr">
        <is>
          <t>15,000</t>
        </is>
      </c>
      <c r="O1061" t="inlineStr">
        <is>
          <t>Commercial Real Estate</t>
        </is>
      </c>
      <c r="P1061" t="inlineStr">
        <is>
          <t>project management,advisory,transaction services</t>
        </is>
      </c>
      <c r="Q1061" t="inlineStr">
        <is>
          <t>Not Found</t>
        </is>
      </c>
    </row>
    <row r="1062">
      <c r="A1062" t="inlineStr">
        <is>
          <t>60fc6b50e3854b0001a9c3cb</t>
        </is>
      </c>
      <c r="B1062" t="inlineStr">
        <is>
          <t>Suzanne Glossop</t>
        </is>
      </c>
      <c r="C1062">
        <f>HYPERLINK("http://www.linkedin.com/in/suzanne-glossop-276240135")</f>
        <v/>
      </c>
      <c r="D1062" t="inlineStr">
        <is>
          <t>Not Found</t>
        </is>
      </c>
      <c r="E1062" t="inlineStr">
        <is>
          <t>Operations Director - Land and New Homes</t>
        </is>
      </c>
      <c r="F1062">
        <f>HYPERLINK("https://app.apollo.io/#/people/60fc6b50e3854b0001a9c3cb")</f>
        <v/>
      </c>
      <c r="G1062" t="inlineStr">
        <is>
          <t>Leaders Romans Group</t>
        </is>
      </c>
      <c r="H1062">
        <f>HYPERLINK("https://app.apollo.io/#/accounts/6578b8bc85cede01ae5c466b")</f>
        <v/>
      </c>
      <c r="I1062">
        <f>HYPERLINK("http://www.lrg.co.uk/")</f>
        <v/>
      </c>
      <c r="J1062">
        <f>HYPERLINK("http://www.linkedin.com/company/leaders-romans-group")</f>
        <v/>
      </c>
      <c r="K1062">
        <f>HYPERLINK("Not Found")</f>
        <v/>
      </c>
      <c r="L1062">
        <f>HYPERLINK("Not Found")</f>
        <v/>
      </c>
      <c r="M1062" t="inlineStr">
        <is>
          <t>Guildford, United Kingdom</t>
        </is>
      </c>
      <c r="N1062" t="inlineStr">
        <is>
          <t>2,600</t>
        </is>
      </c>
      <c r="O1062" t="inlineStr">
        <is>
          <t>Commercial Real Estate</t>
        </is>
      </c>
      <c r="P1062" t="inlineStr">
        <is>
          <t>estate agency,lettings,property investment</t>
        </is>
      </c>
      <c r="Q1062" t="inlineStr">
        <is>
          <t>Not Found</t>
        </is>
      </c>
    </row>
    <row r="1063">
      <c r="A1063" t="inlineStr">
        <is>
          <t>54a22e6374686930c268d213</t>
        </is>
      </c>
      <c r="B1063" t="inlineStr">
        <is>
          <t>Caroline Binns</t>
        </is>
      </c>
      <c r="C1063">
        <f>HYPERLINK("http://www.linkedin.com/in/caroline-binns-65013a5")</f>
        <v/>
      </c>
      <c r="D1063" t="inlineStr">
        <is>
          <t>Not Found</t>
        </is>
      </c>
      <c r="E1063" t="inlineStr">
        <is>
          <t>Associate Director, Marketing &amp; Leasing</t>
        </is>
      </c>
      <c r="F1063">
        <f>HYPERLINK("https://app.apollo.io/#/people/54a22e6374686930c268d213")</f>
        <v/>
      </c>
      <c r="G1063" t="inlineStr">
        <is>
          <t>Liberty Property Trust</t>
        </is>
      </c>
      <c r="H1063">
        <f>HYPERLINK("https://app.apollo.io/#/organizations/54a128e269702d9b8b275a01")</f>
        <v/>
      </c>
      <c r="I1063">
        <f>HYPERLINK("Not Found")</f>
        <v/>
      </c>
      <c r="J1063">
        <f>HYPERLINK("http://www.linkedin.com/company/liberty-property-trust")</f>
        <v/>
      </c>
      <c r="K1063">
        <f>HYPERLINK("Not Found")</f>
        <v/>
      </c>
      <c r="L1063">
        <f>HYPERLINK("Not Found")</f>
        <v/>
      </c>
      <c r="M1063" t="inlineStr">
        <is>
          <t>West Malling, United Kingdom</t>
        </is>
      </c>
      <c r="N1063" t="inlineStr">
        <is>
          <t>160</t>
        </is>
      </c>
      <c r="O1063" t="inlineStr">
        <is>
          <t>Commercial Real Estate</t>
        </is>
      </c>
      <c r="P1063" t="inlineStr">
        <is>
          <t>commercial real estate,enterprise software</t>
        </is>
      </c>
      <c r="Q1063" t="inlineStr">
        <is>
          <t>Not Found</t>
        </is>
      </c>
    </row>
    <row r="1064">
      <c r="A1064" t="inlineStr">
        <is>
          <t>5a0f1fe4a6da98dfdab6cd70</t>
        </is>
      </c>
      <c r="B1064" t="inlineStr">
        <is>
          <t>Franziska Lohstroh</t>
        </is>
      </c>
      <c r="C1064">
        <f>HYPERLINK("http://www.linkedin.com/in/franziska-lohstroh-241264147")</f>
        <v/>
      </c>
      <c r="D1064" t="inlineStr">
        <is>
          <t>Not Found</t>
        </is>
      </c>
      <c r="E1064" t="inlineStr">
        <is>
          <t>Associate Director, Smart FM Solutions</t>
        </is>
      </c>
      <c r="F1064">
        <f>HYPERLINK("https://app.apollo.io/#/people/5a0f1fe4a6da98dfdab6cd70")</f>
        <v/>
      </c>
      <c r="G1064" t="inlineStr">
        <is>
          <t>CBRE Global Workplace Solutions (GWS)</t>
        </is>
      </c>
      <c r="H1064">
        <f>HYPERLINK("https://app.apollo.io/#/accounts/6509fed6f449800001b69a15")</f>
        <v/>
      </c>
      <c r="I1064">
        <f>HYPERLINK("http://www.coor.com/")</f>
        <v/>
      </c>
      <c r="J1064">
        <f>HYPERLINK("http://www.linkedin.com/company/cbre-gws")</f>
        <v/>
      </c>
      <c r="K1064">
        <f>HYPERLINK("Not Found")</f>
        <v/>
      </c>
      <c r="L1064">
        <f>HYPERLINK("Not Found")</f>
        <v/>
      </c>
      <c r="M1064" t="inlineStr">
        <is>
          <t>United Kingdom</t>
        </is>
      </c>
      <c r="N1064" t="inlineStr">
        <is>
          <t>15,000</t>
        </is>
      </c>
      <c r="O1064" t="inlineStr">
        <is>
          <t>Commercial Real Estate</t>
        </is>
      </c>
      <c r="P1064" t="inlineStr">
        <is>
          <t>project management,advisory,transaction services</t>
        </is>
      </c>
      <c r="Q1064" t="inlineStr">
        <is>
          <t>Not Found</t>
        </is>
      </c>
    </row>
    <row r="1065">
      <c r="A1065" t="inlineStr">
        <is>
          <t>54a81f44746869622090c661</t>
        </is>
      </c>
      <c r="B1065" t="inlineStr">
        <is>
          <t>Andy Parrott</t>
        </is>
      </c>
      <c r="C1065">
        <f>HYPERLINK("http://www.linkedin.com/in/andy-parrott-64017218")</f>
        <v/>
      </c>
      <c r="D1065" t="inlineStr">
        <is>
          <t>Not Found</t>
        </is>
      </c>
      <c r="E1065" t="inlineStr">
        <is>
          <t>Associate Director - National Facilities Manager</t>
        </is>
      </c>
      <c r="F1065">
        <f>HYPERLINK("https://app.apollo.io/#/people/54a81f44746869622090c661")</f>
        <v/>
      </c>
      <c r="G1065" t="inlineStr">
        <is>
          <t>Colliers</t>
        </is>
      </c>
      <c r="H1065">
        <f>HYPERLINK("https://app.apollo.io/#/accounts/6578c2e248f92e02cc97a7cd")</f>
        <v/>
      </c>
      <c r="I1065">
        <f>HYPERLINK("http://www.colliers.com/")</f>
        <v/>
      </c>
      <c r="J1065">
        <f>HYPERLINK("http://www.linkedin.com/company/colliers")</f>
        <v/>
      </c>
      <c r="K1065">
        <f>HYPERLINK("https://twitter.com/collierscanada")</f>
        <v/>
      </c>
      <c r="L1065">
        <f>HYPERLINK("Not Found")</f>
        <v/>
      </c>
      <c r="M1065" t="inlineStr">
        <is>
          <t>London, United Kingdom</t>
        </is>
      </c>
      <c r="N1065" t="inlineStr">
        <is>
          <t>25,000</t>
        </is>
      </c>
      <c r="O1065" t="inlineStr">
        <is>
          <t>Commercial Real Estate</t>
        </is>
      </c>
      <c r="P1065" t="inlineStr">
        <is>
          <t>brokerage &amp; agency,corporate solutions,investment services</t>
        </is>
      </c>
      <c r="Q1065" t="inlineStr">
        <is>
          <t>Not Found</t>
        </is>
      </c>
    </row>
    <row r="1066">
      <c r="A1066" t="inlineStr">
        <is>
          <t>64aae92c1a67990001981828</t>
        </is>
      </c>
      <c r="B1066" t="inlineStr">
        <is>
          <t>Jack Brooke</t>
        </is>
      </c>
      <c r="C1066">
        <f>HYPERLINK("http://www.linkedin.com/in/jackbrookemadisonberkeley")</f>
        <v/>
      </c>
      <c r="D1066" t="inlineStr">
        <is>
          <t>Not Found</t>
        </is>
      </c>
      <c r="E1066" t="inlineStr">
        <is>
          <t>Associate Director - Property &amp; Asset Management</t>
        </is>
      </c>
      <c r="F1066">
        <f>HYPERLINK("https://app.apollo.io/#/people/64aae92c1a67990001981828")</f>
        <v/>
      </c>
      <c r="G1066" t="inlineStr">
        <is>
          <t>Madison Berkeley</t>
        </is>
      </c>
      <c r="H1066">
        <f>HYPERLINK("https://app.apollo.io/#/accounts/6578c0501823b201ae2f230a")</f>
        <v/>
      </c>
      <c r="I1066">
        <f>HYPERLINK("http://www.madisonberkeley.com/")</f>
        <v/>
      </c>
      <c r="J1066">
        <f>HYPERLINK("http://www.linkedin.com/company/madison-berkeley")</f>
        <v/>
      </c>
      <c r="K1066">
        <f>HYPERLINK("Not Found")</f>
        <v/>
      </c>
      <c r="L1066">
        <f>HYPERLINK("Not Found")</f>
        <v/>
      </c>
      <c r="M1066" t="inlineStr">
        <is>
          <t>West End, United Kingdom</t>
        </is>
      </c>
      <c r="N1066" t="inlineStr">
        <is>
          <t>8</t>
        </is>
      </c>
      <c r="O1066" t="inlineStr">
        <is>
          <t>Commercial Real Estate</t>
        </is>
      </c>
      <c r="P1066" t="inlineStr">
        <is>
          <t>real estate recruitment,property recruitment</t>
        </is>
      </c>
      <c r="Q1066" t="inlineStr">
        <is>
          <t>Not Found</t>
        </is>
      </c>
    </row>
    <row r="1067">
      <c r="A1067" t="inlineStr">
        <is>
          <t>54a7626e74686975f848e82f</t>
        </is>
      </c>
      <c r="B1067" t="inlineStr">
        <is>
          <t>Ross Fergusson</t>
        </is>
      </c>
      <c r="C1067">
        <f>HYPERLINK("http://www.linkedin.com/in/ross-fergusson-83aa1551")</f>
        <v/>
      </c>
      <c r="D1067" t="inlineStr">
        <is>
          <t>Not Found</t>
        </is>
      </c>
      <c r="E1067" t="inlineStr">
        <is>
          <t>Associate Director - Valuation &amp; Advisory Services</t>
        </is>
      </c>
      <c r="F1067">
        <f>HYPERLINK("https://app.apollo.io/#/people/54a7626e74686975f848e82f")</f>
        <v/>
      </c>
      <c r="G1067" t="inlineStr">
        <is>
          <t>Colliers</t>
        </is>
      </c>
      <c r="H1067">
        <f>HYPERLINK("https://app.apollo.io/#/accounts/64aaf6c63d556a0001e8eda6")</f>
        <v/>
      </c>
      <c r="I1067">
        <f>HYPERLINK("http://www.colliers.com/")</f>
        <v/>
      </c>
      <c r="J1067">
        <f>HYPERLINK("http://www.linkedin.com/company/colliers")</f>
        <v/>
      </c>
      <c r="K1067">
        <f>HYPERLINK("https://twitter.com/Colliers")</f>
        <v/>
      </c>
      <c r="L1067">
        <f>HYPERLINK("https://facebook.com/colliersinternational/")</f>
        <v/>
      </c>
      <c r="M1067" t="inlineStr">
        <is>
          <t>Glasgow, United Kingdom</t>
        </is>
      </c>
      <c r="N1067" t="inlineStr">
        <is>
          <t>25,000</t>
        </is>
      </c>
      <c r="O1067" t="inlineStr">
        <is>
          <t>Commercial Real Estate</t>
        </is>
      </c>
      <c r="P1067" t="inlineStr">
        <is>
          <t>brokerage &amp; agency,corporate solutions,investment services</t>
        </is>
      </c>
      <c r="Q1067" t="inlineStr">
        <is>
          <t>Not Found</t>
        </is>
      </c>
    </row>
    <row r="1068">
      <c r="A1068" t="inlineStr">
        <is>
          <t>54a7157b746869705acce913</t>
        </is>
      </c>
      <c r="B1068" t="inlineStr">
        <is>
          <t>Gary Fothergill</t>
        </is>
      </c>
      <c r="C1068">
        <f>HYPERLINK("http://www.linkedin.com/in/gary-fothergill-0a6bb345")</f>
        <v/>
      </c>
      <c r="D1068" t="inlineStr">
        <is>
          <t>Not Found</t>
        </is>
      </c>
      <c r="E1068" t="inlineStr">
        <is>
          <t>Commercial Director - Dawsongroup material handling</t>
        </is>
      </c>
      <c r="F1068">
        <f>HYPERLINK("https://app.apollo.io/#/people/54a7157b746869705acce913")</f>
        <v/>
      </c>
      <c r="G1068" t="inlineStr">
        <is>
          <t>Dawsongroup</t>
        </is>
      </c>
      <c r="H1068">
        <f>HYPERLINK("https://app.apollo.io/#/accounts/6578bdff73d31601aeef274e")</f>
        <v/>
      </c>
      <c r="I1068">
        <f>HYPERLINK("http://www.dawsongroup.co.uk/")</f>
        <v/>
      </c>
      <c r="J1068">
        <f>HYPERLINK("http://www.linkedin.com/company/dawsongroup-plc")</f>
        <v/>
      </c>
      <c r="K1068">
        <f>HYPERLINK("https://twitter.com/dawsongroupplc")</f>
        <v/>
      </c>
      <c r="L1068">
        <f>HYPERLINK("Not Found")</f>
        <v/>
      </c>
      <c r="M1068" t="inlineStr">
        <is>
          <t>Garforth, United Kingdom</t>
        </is>
      </c>
      <c r="N1068" t="inlineStr">
        <is>
          <t>390</t>
        </is>
      </c>
      <c r="O1068" t="inlineStr">
        <is>
          <t>Commercial Real Estate</t>
        </is>
      </c>
      <c r="P1068" t="inlineStr">
        <is>
          <t>asset management,rental</t>
        </is>
      </c>
      <c r="Q1068" t="inlineStr">
        <is>
          <t>Not Found</t>
        </is>
      </c>
    </row>
    <row r="1069">
      <c r="A1069" t="inlineStr">
        <is>
          <t>5ac57457a6da9891feb08a9b</t>
        </is>
      </c>
      <c r="B1069" t="inlineStr">
        <is>
          <t>Andrew Turnbull</t>
        </is>
      </c>
      <c r="C1069">
        <f>HYPERLINK("http://www.linkedin.com/in/andrew-turnbull-4b7b0990")</f>
        <v/>
      </c>
      <c r="D1069" t="inlineStr">
        <is>
          <t>Not Found</t>
        </is>
      </c>
      <c r="E1069" t="inlineStr">
        <is>
          <t>Divisional Project Director Data Centres</t>
        </is>
      </c>
      <c r="F1069">
        <f>HYPERLINK("https://app.apollo.io/#/people/5ac57457a6da9891feb08a9b")</f>
        <v/>
      </c>
      <c r="G1069" t="inlineStr">
        <is>
          <t>CBRE Global Workplace Solutions (GWS)</t>
        </is>
      </c>
      <c r="H1069">
        <f>HYPERLINK("https://app.apollo.io/#/accounts/6509fed6f449800001b69a15")</f>
        <v/>
      </c>
      <c r="I1069">
        <f>HYPERLINK("http://www.coor.com/")</f>
        <v/>
      </c>
      <c r="J1069">
        <f>HYPERLINK("http://www.linkedin.com/company/cbre-gws")</f>
        <v/>
      </c>
      <c r="K1069">
        <f>HYPERLINK("Not Found")</f>
        <v/>
      </c>
      <c r="L1069">
        <f>HYPERLINK("Not Found")</f>
        <v/>
      </c>
      <c r="M1069" t="inlineStr">
        <is>
          <t>London, United Kingdom</t>
        </is>
      </c>
      <c r="N1069" t="inlineStr">
        <is>
          <t>15,000</t>
        </is>
      </c>
      <c r="O1069" t="inlineStr">
        <is>
          <t>Commercial Real Estate</t>
        </is>
      </c>
      <c r="P1069" t="inlineStr">
        <is>
          <t>project management,advisory,transaction services</t>
        </is>
      </c>
      <c r="Q1069" t="inlineStr">
        <is>
          <t>Not Found</t>
        </is>
      </c>
    </row>
    <row r="1070">
      <c r="A1070" t="inlineStr">
        <is>
          <t>5adfd88ea6da984d66eeb361</t>
        </is>
      </c>
      <c r="B1070" t="inlineStr">
        <is>
          <t>Natalie Green</t>
        </is>
      </c>
      <c r="C1070">
        <f>HYPERLINK("http://www.linkedin.com/in/natalie-green-0461b526")</f>
        <v/>
      </c>
      <c r="D1070" t="inlineStr">
        <is>
          <t>Not Found</t>
        </is>
      </c>
      <c r="E1070" t="inlineStr">
        <is>
          <t>D&amp;T Local Director - UK</t>
        </is>
      </c>
      <c r="F1070">
        <f>HYPERLINK("https://app.apollo.io/#/people/5adfd88ea6da984d66eeb361")</f>
        <v/>
      </c>
      <c r="G1070" t="inlineStr">
        <is>
          <t>CBRE Global Workplace Solutions (GWS)</t>
        </is>
      </c>
      <c r="H1070">
        <f>HYPERLINK("https://app.apollo.io/#/accounts/6509fed6f449800001b69a15")</f>
        <v/>
      </c>
      <c r="I1070">
        <f>HYPERLINK("http://www.coor.com/")</f>
        <v/>
      </c>
      <c r="J1070">
        <f>HYPERLINK("http://www.linkedin.com/company/cbre-gws")</f>
        <v/>
      </c>
      <c r="K1070">
        <f>HYPERLINK("Not Found")</f>
        <v/>
      </c>
      <c r="L1070">
        <f>HYPERLINK("Not Found")</f>
        <v/>
      </c>
      <c r="M1070" t="inlineStr">
        <is>
          <t>United Kingdom</t>
        </is>
      </c>
      <c r="N1070" t="inlineStr">
        <is>
          <t>15,000</t>
        </is>
      </c>
      <c r="O1070" t="inlineStr">
        <is>
          <t>Commercial Real Estate</t>
        </is>
      </c>
      <c r="P1070" t="inlineStr">
        <is>
          <t>project management,advisory,transaction services</t>
        </is>
      </c>
      <c r="Q1070" t="inlineStr">
        <is>
          <t>Not Found</t>
        </is>
      </c>
    </row>
    <row r="1071">
      <c r="A1071" t="inlineStr">
        <is>
          <t>60eeba2198ef240001d79b38</t>
        </is>
      </c>
      <c r="B1071" t="inlineStr">
        <is>
          <t>Graeme Sephton</t>
        </is>
      </c>
      <c r="C1071">
        <f>HYPERLINK("http://www.linkedin.com/in/graeme-sephton-mcips-1146a429")</f>
        <v/>
      </c>
      <c r="D1071" t="inlineStr">
        <is>
          <t>Not Found</t>
        </is>
      </c>
      <c r="E1071" t="inlineStr">
        <is>
          <t>Divisional Procurement Director - Corporate Services</t>
        </is>
      </c>
      <c r="F1071">
        <f>HYPERLINK("https://app.apollo.io/#/people/60eeba2198ef240001d79b38")</f>
        <v/>
      </c>
      <c r="G1071" t="inlineStr">
        <is>
          <t>CBRE Global Workplace Solutions (GWS)</t>
        </is>
      </c>
      <c r="H1071">
        <f>HYPERLINK("https://app.apollo.io/#/accounts/6509fed6f449800001b69a15")</f>
        <v/>
      </c>
      <c r="I1071">
        <f>HYPERLINK("http://www.coor.com/")</f>
        <v/>
      </c>
      <c r="J1071">
        <f>HYPERLINK("http://www.linkedin.com/company/cbre-gws")</f>
        <v/>
      </c>
      <c r="K1071">
        <f>HYPERLINK("Not Found")</f>
        <v/>
      </c>
      <c r="L1071">
        <f>HYPERLINK("Not Found")</f>
        <v/>
      </c>
      <c r="M1071" t="inlineStr">
        <is>
          <t>London, United Kingdom</t>
        </is>
      </c>
      <c r="N1071" t="inlineStr">
        <is>
          <t>15,000</t>
        </is>
      </c>
      <c r="O1071" t="inlineStr">
        <is>
          <t>Commercial Real Estate</t>
        </is>
      </c>
      <c r="P1071" t="inlineStr">
        <is>
          <t>project management,advisory,transaction services</t>
        </is>
      </c>
      <c r="Q1071" t="inlineStr">
        <is>
          <t>Not Found</t>
        </is>
      </c>
    </row>
    <row r="1072">
      <c r="A1072" t="inlineStr">
        <is>
          <t>54abb138746869300775c806</t>
        </is>
      </c>
      <c r="B1072" t="inlineStr">
        <is>
          <t>Paul Holdsworth</t>
        </is>
      </c>
      <c r="C1072">
        <f>HYPERLINK("http://www.linkedin.com/in/paul-holdsworth-82361139")</f>
        <v/>
      </c>
      <c r="D1072" t="inlineStr">
        <is>
          <t>Not Found</t>
        </is>
      </c>
      <c r="E1072" t="inlineStr">
        <is>
          <t>Director - European Industrial &amp; Logistics Investments</t>
        </is>
      </c>
      <c r="F1072">
        <f>HYPERLINK("https://app.apollo.io/#/people/54abb138746869300775c806")</f>
        <v/>
      </c>
      <c r="G1072" t="inlineStr">
        <is>
          <t>Oxford Properties Group</t>
        </is>
      </c>
      <c r="H1072">
        <f>HYPERLINK("https://app.apollo.io/#/organizations/54a13c1d69702d267a40c301")</f>
        <v/>
      </c>
      <c r="I1072">
        <f>HYPERLINK("http://www.oxfordproperties.com/")</f>
        <v/>
      </c>
      <c r="J1072">
        <f>HYPERLINK("http://www.linkedin.com/company/oxford-properties-group")</f>
        <v/>
      </c>
      <c r="K1072">
        <f>HYPERLINK("https://twitter.com/oxfordpropgrp")</f>
        <v/>
      </c>
      <c r="L1072">
        <f>HYPERLINK("https://facebook.com/Oxford-Properties-Group-144027735748216/")</f>
        <v/>
      </c>
      <c r="M1072" t="inlineStr">
        <is>
          <t>United Kingdom</t>
        </is>
      </c>
      <c r="N1072" t="inlineStr">
        <is>
          <t>1,700</t>
        </is>
      </c>
      <c r="O1072" t="inlineStr">
        <is>
          <t>Commercial Real Estate</t>
        </is>
      </c>
      <c r="P1072" t="inlineStr">
        <is>
          <t>real estate,development,investment,property management</t>
        </is>
      </c>
      <c r="Q1072" t="inlineStr">
        <is>
          <t>Not Found</t>
        </is>
      </c>
    </row>
    <row r="1073">
      <c r="A1073" t="inlineStr">
        <is>
          <t>60db02eb2f8d9c0001a70ef0</t>
        </is>
      </c>
      <c r="B1073" t="inlineStr">
        <is>
          <t>Paul Cusack</t>
        </is>
      </c>
      <c r="C1073">
        <f>HYPERLINK("http://www.linkedin.com/in/paul-cusack-2a61a227")</f>
        <v/>
      </c>
      <c r="D1073" t="inlineStr">
        <is>
          <t>Not Found</t>
        </is>
      </c>
      <c r="E1073" t="inlineStr">
        <is>
          <t>Director - Commercial Real Estate Services</t>
        </is>
      </c>
      <c r="F1073">
        <f>HYPERLINK("https://app.apollo.io/#/people/60db02eb2f8d9c0001a70ef0")</f>
        <v/>
      </c>
      <c r="G1073" t="inlineStr">
        <is>
          <t>Boxfield Solutions Ltd</t>
        </is>
      </c>
      <c r="H1073">
        <f>HYPERLINK("https://app.apollo.io/#/organizations/5e56f81fd214d2000123fa32")</f>
        <v/>
      </c>
      <c r="I1073">
        <f>HYPERLINK("http://www.boxfield.co.uk/")</f>
        <v/>
      </c>
      <c r="J1073">
        <f>HYPERLINK("http://www.linkedin.com/company/boxfield-solutions-ltd")</f>
        <v/>
      </c>
      <c r="K1073">
        <f>HYPERLINK("Not Found")</f>
        <v/>
      </c>
      <c r="L1073">
        <f>HYPERLINK("Not Found")</f>
        <v/>
      </c>
      <c r="M1073" t="inlineStr">
        <is>
          <t>London, United Kingdom</t>
        </is>
      </c>
      <c r="N1073" t="inlineStr">
        <is>
          <t>3</t>
        </is>
      </c>
      <c r="O1073" t="inlineStr">
        <is>
          <t>Commercial Real Estate</t>
        </is>
      </c>
      <c r="P1073" t="inlineStr">
        <is>
          <t>business rates mitigation</t>
        </is>
      </c>
      <c r="Q1073" t="inlineStr">
        <is>
          <t>Not Found</t>
        </is>
      </c>
    </row>
    <row r="1074">
      <c r="A1074" t="inlineStr">
        <is>
          <t>54a403957468693b8cac1125</t>
        </is>
      </c>
      <c r="B1074" t="inlineStr">
        <is>
          <t>Tim Abraham</t>
        </is>
      </c>
      <c r="C1074">
        <f>HYPERLINK("http://www.linkedin.com/in/tim-abraham-561893b")</f>
        <v/>
      </c>
      <c r="D1074" t="inlineStr">
        <is>
          <t>Not Found</t>
        </is>
      </c>
      <c r="E1074" t="inlineStr">
        <is>
          <t>Managing Director - Dawsongroup material handling</t>
        </is>
      </c>
      <c r="F1074">
        <f>HYPERLINK("https://app.apollo.io/#/people/54a403957468693b8cac1125")</f>
        <v/>
      </c>
      <c r="G1074" t="inlineStr">
        <is>
          <t>Dawsongroup</t>
        </is>
      </c>
      <c r="H1074">
        <f>HYPERLINK("https://app.apollo.io/#/accounts/6578bdff73d31601aeef274e")</f>
        <v/>
      </c>
      <c r="I1074">
        <f>HYPERLINK("http://www.dawsongroup.co.uk/")</f>
        <v/>
      </c>
      <c r="J1074">
        <f>HYPERLINK("http://www.linkedin.com/company/dawsongroup-plc")</f>
        <v/>
      </c>
      <c r="K1074">
        <f>HYPERLINK("https://twitter.com/dawsongroupplc")</f>
        <v/>
      </c>
      <c r="L1074">
        <f>HYPERLINK("Not Found")</f>
        <v/>
      </c>
      <c r="M1074" t="inlineStr">
        <is>
          <t>Cannock, United Kingdom</t>
        </is>
      </c>
      <c r="N1074" t="inlineStr">
        <is>
          <t>390</t>
        </is>
      </c>
      <c r="O1074" t="inlineStr">
        <is>
          <t>Commercial Real Estate</t>
        </is>
      </c>
      <c r="P1074" t="inlineStr">
        <is>
          <t>asset management,rental</t>
        </is>
      </c>
      <c r="Q1074" t="inlineStr">
        <is>
          <t>Not Found</t>
        </is>
      </c>
    </row>
    <row r="1075">
      <c r="A1075" t="inlineStr">
        <is>
          <t>6108c855c9ba5200010e014d</t>
        </is>
      </c>
      <c r="B1075" t="inlineStr">
        <is>
          <t>Peter Wood</t>
        </is>
      </c>
      <c r="C1075">
        <f>HYPERLINK("http://www.linkedin.com/in/peter-wood-mrics-6a839925")</f>
        <v/>
      </c>
      <c r="D1075" t="inlineStr">
        <is>
          <t>Not Found</t>
        </is>
      </c>
      <c r="E1075" t="inlineStr">
        <is>
          <t>Director - Asset Management &amp; Lease Consultancy</t>
        </is>
      </c>
      <c r="F1075">
        <f>HYPERLINK("https://app.apollo.io/#/people/6108c855c9ba5200010e014d")</f>
        <v/>
      </c>
      <c r="G1075" t="inlineStr">
        <is>
          <t>Bruce Gillingham Pollard</t>
        </is>
      </c>
      <c r="H1075">
        <f>HYPERLINK("https://app.apollo.io/#/organizations/5e5775dc3f9e640001579e2f")</f>
        <v/>
      </c>
      <c r="I1075">
        <f>HYPERLINK("http://www.brucegillinghampollard.com/")</f>
        <v/>
      </c>
      <c r="J1075">
        <f>HYPERLINK("http://www.linkedin.com/company/bruce-gillingham-pollard")</f>
        <v/>
      </c>
      <c r="K1075">
        <f>HYPERLINK("https://twitter.com/BGPtweet")</f>
        <v/>
      </c>
      <c r="L1075">
        <f>HYPERLINK("https://facebook.com/pages/Bruce-Gillingham-Pollard/212124998814834")</f>
        <v/>
      </c>
      <c r="M1075" t="inlineStr">
        <is>
          <t>London, United Kingdom</t>
        </is>
      </c>
      <c r="N1075" t="inlineStr">
        <is>
          <t>30</t>
        </is>
      </c>
      <c r="O1075" t="inlineStr">
        <is>
          <t>Commercial Real Estate</t>
        </is>
      </c>
      <c r="P1075" t="inlineStr">
        <is>
          <t>retail,property,brokerage,development</t>
        </is>
      </c>
      <c r="Q1075" t="inlineStr">
        <is>
          <t>Not Found</t>
        </is>
      </c>
    </row>
    <row r="1076">
      <c r="A1076" t="inlineStr">
        <is>
          <t>613081e3e5732a0001e0c126</t>
        </is>
      </c>
      <c r="B1076" t="inlineStr">
        <is>
          <t>Robert Whatmuff</t>
        </is>
      </c>
      <c r="C1076">
        <f>HYPERLINK("http://www.linkedin.com/in/robert-whatmuff-mrics-39248a16")</f>
        <v/>
      </c>
      <c r="D1076" t="inlineStr">
        <is>
          <t>Not Found</t>
        </is>
      </c>
      <c r="E1076" t="inlineStr">
        <is>
          <t>Head of Office and Director Industrial &amp; Logistics</t>
        </is>
      </c>
      <c r="F1076">
        <f>HYPERLINK("https://app.apollo.io/#/people/613081e3e5732a0001e0c126")</f>
        <v/>
      </c>
      <c r="G1076" t="inlineStr">
        <is>
          <t>Colliers</t>
        </is>
      </c>
      <c r="H1076">
        <f>HYPERLINK("https://app.apollo.io/#/accounts/64aaf6c63d556a0001e8eda6")</f>
        <v/>
      </c>
      <c r="I1076">
        <f>HYPERLINK("http://www.colliers.com/")</f>
        <v/>
      </c>
      <c r="J1076">
        <f>HYPERLINK("http://www.linkedin.com/company/colliers")</f>
        <v/>
      </c>
      <c r="K1076">
        <f>HYPERLINK("https://twitter.com/Colliers")</f>
        <v/>
      </c>
      <c r="L1076">
        <f>HYPERLINK("https://facebook.com/colliersinternational/")</f>
        <v/>
      </c>
      <c r="M1076" t="inlineStr">
        <is>
          <t>United Kingdom</t>
        </is>
      </c>
      <c r="N1076" t="inlineStr">
        <is>
          <t>25,000</t>
        </is>
      </c>
      <c r="O1076" t="inlineStr">
        <is>
          <t>Commercial Real Estate</t>
        </is>
      </c>
      <c r="P1076" t="inlineStr">
        <is>
          <t>brokerage &amp; agency,corporate solutions,investment services</t>
        </is>
      </c>
      <c r="Q1076" t="inlineStr">
        <is>
          <t>Not Found</t>
        </is>
      </c>
    </row>
    <row r="1077">
      <c r="A1077" t="inlineStr">
        <is>
          <t>5f509c840763520001a72239</t>
        </is>
      </c>
      <c r="B1077" t="inlineStr">
        <is>
          <t>Amy Brooksbank</t>
        </is>
      </c>
      <c r="C1077">
        <f>HYPERLINK("http://www.linkedin.com/in/amy-brooksbank-6758418b")</f>
        <v/>
      </c>
      <c r="D1077" t="inlineStr">
        <is>
          <t>Not Found</t>
        </is>
      </c>
      <c r="E1077" t="inlineStr">
        <is>
          <t>Associate Director - Parks, Sports and Marinas</t>
        </is>
      </c>
      <c r="F1077">
        <f>HYPERLINK("https://app.apollo.io/#/people/5f509c840763520001a72239")</f>
        <v/>
      </c>
      <c r="G1077" t="inlineStr">
        <is>
          <t>Colliers</t>
        </is>
      </c>
      <c r="H1077">
        <f>HYPERLINK("https://app.apollo.io/#/accounts/64aaf6c63d556a0001e8eda6")</f>
        <v/>
      </c>
      <c r="I1077">
        <f>HYPERLINK("http://www.colliers.com/")</f>
        <v/>
      </c>
      <c r="J1077">
        <f>HYPERLINK("http://www.linkedin.com/company/colliers")</f>
        <v/>
      </c>
      <c r="K1077">
        <f>HYPERLINK("https://twitter.com/Colliers")</f>
        <v/>
      </c>
      <c r="L1077">
        <f>HYPERLINK("https://facebook.com/colliersinternational/")</f>
        <v/>
      </c>
      <c r="M1077" t="inlineStr">
        <is>
          <t>United Kingdom</t>
        </is>
      </c>
      <c r="N1077" t="inlineStr">
        <is>
          <t>25,000</t>
        </is>
      </c>
      <c r="O1077" t="inlineStr">
        <is>
          <t>Commercial Real Estate</t>
        </is>
      </c>
      <c r="P1077" t="inlineStr">
        <is>
          <t>brokerage &amp; agency,corporate solutions,investment services</t>
        </is>
      </c>
      <c r="Q1077" t="inlineStr">
        <is>
          <t>Not Found</t>
        </is>
      </c>
    </row>
    <row r="1078">
      <c r="A1078" t="inlineStr">
        <is>
          <t>5c5b5b98f65125a57e97efc3</t>
        </is>
      </c>
      <c r="B1078" t="inlineStr">
        <is>
          <t>Jade Grantham</t>
        </is>
      </c>
      <c r="C1078">
        <f>HYPERLINK("http://www.linkedin.com/in/jade-grantham-86248380")</f>
        <v/>
      </c>
      <c r="D1078" t="inlineStr">
        <is>
          <t>Not Found</t>
        </is>
      </c>
      <c r="E1078" t="inlineStr">
        <is>
          <t>Associate Director Operational Capital Markets</t>
        </is>
      </c>
      <c r="F1078">
        <f>HYPERLINK("https://app.apollo.io/#/people/5c5b5b98f65125a57e97efc3")</f>
        <v/>
      </c>
      <c r="G1078" t="inlineStr">
        <is>
          <t>Colliers</t>
        </is>
      </c>
      <c r="H1078">
        <f>HYPERLINK("https://app.apollo.io/#/accounts/64aaf6c63d556a0001e8eda6")</f>
        <v/>
      </c>
      <c r="I1078">
        <f>HYPERLINK("http://www.colliers.com/")</f>
        <v/>
      </c>
      <c r="J1078">
        <f>HYPERLINK("http://www.linkedin.com/company/colliers")</f>
        <v/>
      </c>
      <c r="K1078">
        <f>HYPERLINK("https://twitter.com/Colliers")</f>
        <v/>
      </c>
      <c r="L1078">
        <f>HYPERLINK("https://facebook.com/colliersinternational/")</f>
        <v/>
      </c>
      <c r="M1078" t="inlineStr">
        <is>
          <t>London, United Kingdom</t>
        </is>
      </c>
      <c r="N1078" t="inlineStr">
        <is>
          <t>25,000</t>
        </is>
      </c>
      <c r="O1078" t="inlineStr">
        <is>
          <t>Commercial Real Estate</t>
        </is>
      </c>
      <c r="P1078" t="inlineStr">
        <is>
          <t>brokerage &amp; agency,corporate solutions,investment services</t>
        </is>
      </c>
      <c r="Q1078" t="inlineStr">
        <is>
          <t>Not Found</t>
        </is>
      </c>
    </row>
    <row r="1079">
      <c r="A1079" t="inlineStr">
        <is>
          <t>54c1ebc47468691639f16c5c</t>
        </is>
      </c>
      <c r="B1079" t="inlineStr">
        <is>
          <t>David Maddison</t>
        </is>
      </c>
      <c r="C1079">
        <f>HYPERLINK("http://www.linkedin.com/in/david-maddison-64a206ab")</f>
        <v/>
      </c>
      <c r="D1079" t="inlineStr">
        <is>
          <t>Not Found</t>
        </is>
      </c>
      <c r="E1079" t="inlineStr">
        <is>
          <t>Center Director at Trinity Leeds</t>
        </is>
      </c>
      <c r="F1079">
        <f>HYPERLINK("https://app.apollo.io/#/people/54c1ebc47468691639f16c5c")</f>
        <v/>
      </c>
      <c r="G1079" t="inlineStr">
        <is>
          <t>Landsec</t>
        </is>
      </c>
      <c r="H1079">
        <f>HYPERLINK("https://app.apollo.io/#/accounts/6578b86a75dc3a02ccc995c8")</f>
        <v/>
      </c>
      <c r="I1079">
        <f>HYPERLINK("http://www.landsec.com/")</f>
        <v/>
      </c>
      <c r="J1079">
        <f>HYPERLINK("http://www.linkedin.com/company/landsec")</f>
        <v/>
      </c>
      <c r="K1079">
        <f>HYPERLINK("https://twitter.com/landsecgroup?lang=en")</f>
        <v/>
      </c>
      <c r="L1079">
        <f>HYPERLINK("https://facebook.com/pages/category/Real-Estate-Company/Landsec-Group-335042077050643/")</f>
        <v/>
      </c>
      <c r="M1079" t="inlineStr">
        <is>
          <t>Howden, United Kingdom</t>
        </is>
      </c>
      <c r="N1079" t="inlineStr">
        <is>
          <t>860</t>
        </is>
      </c>
      <c r="O1079" t="inlineStr">
        <is>
          <t>Commercial Real Estate</t>
        </is>
      </c>
      <c r="P1079" t="inlineStr">
        <is>
          <t>property investment,management &amp; development</t>
        </is>
      </c>
      <c r="Q1079" t="inlineStr">
        <is>
          <t>Not Found</t>
        </is>
      </c>
    </row>
    <row r="1080">
      <c r="A1080" t="inlineStr">
        <is>
          <t>54c15eb67468697af7b77103</t>
        </is>
      </c>
      <c r="B1080" t="inlineStr">
        <is>
          <t>Asa Parker</t>
        </is>
      </c>
      <c r="C1080">
        <f>HYPERLINK("http://www.linkedin.com/in/asa-parker-92b76426")</f>
        <v/>
      </c>
      <c r="D1080" t="inlineStr">
        <is>
          <t>Not Found</t>
        </is>
      </c>
      <c r="E1080" t="inlineStr">
        <is>
          <t>Global Commercial Director PJM Advisory</t>
        </is>
      </c>
      <c r="F1080">
        <f>HYPERLINK("https://app.apollo.io/#/people/54c15eb67468697af7b77103")</f>
        <v/>
      </c>
      <c r="G1080" t="inlineStr">
        <is>
          <t>CBRE Global Workplace Solutions (GWS)</t>
        </is>
      </c>
      <c r="H1080">
        <f>HYPERLINK("https://app.apollo.io/#/accounts/6509fed6f449800001b69a15")</f>
        <v/>
      </c>
      <c r="I1080">
        <f>HYPERLINK("http://www.coor.com/")</f>
        <v/>
      </c>
      <c r="J1080">
        <f>HYPERLINK("http://www.linkedin.com/company/cbre-gws")</f>
        <v/>
      </c>
      <c r="K1080">
        <f>HYPERLINK("Not Found")</f>
        <v/>
      </c>
      <c r="L1080">
        <f>HYPERLINK("Not Found")</f>
        <v/>
      </c>
      <c r="M1080" t="inlineStr">
        <is>
          <t>Thatcham, United Kingdom</t>
        </is>
      </c>
      <c r="N1080" t="inlineStr">
        <is>
          <t>15,000</t>
        </is>
      </c>
      <c r="O1080" t="inlineStr">
        <is>
          <t>Commercial Real Estate</t>
        </is>
      </c>
      <c r="P1080" t="inlineStr">
        <is>
          <t>project management,advisory,transaction services</t>
        </is>
      </c>
      <c r="Q1080" t="inlineStr">
        <is>
          <t>Not Found</t>
        </is>
      </c>
    </row>
    <row r="1081">
      <c r="A1081" t="inlineStr">
        <is>
          <t>5b2906daa6da98c3987c5390</t>
        </is>
      </c>
      <c r="B1081" t="inlineStr">
        <is>
          <t>Paul Matthews</t>
        </is>
      </c>
      <c r="C1081">
        <f>HYPERLINK("http://www.linkedin.com/in/paul-matthews")</f>
        <v/>
      </c>
      <c r="D1081" t="inlineStr">
        <is>
          <t>Not Found</t>
        </is>
      </c>
      <c r="E1081" t="inlineStr">
        <is>
          <t>Director | Head of Retail Strategy &amp; Analytics</t>
        </is>
      </c>
      <c r="F1081">
        <f>HYPERLINK("https://app.apollo.io/#/people/5b2906daa6da98c3987c5390")</f>
        <v/>
      </c>
      <c r="G1081" t="inlineStr">
        <is>
          <t>Colliers</t>
        </is>
      </c>
      <c r="H1081">
        <f>HYPERLINK("https://app.apollo.io/#/accounts/64aaf6c63d556a0001e8eda6")</f>
        <v/>
      </c>
      <c r="I1081">
        <f>HYPERLINK("http://www.colliers.com/")</f>
        <v/>
      </c>
      <c r="J1081">
        <f>HYPERLINK("http://www.linkedin.com/company/colliers")</f>
        <v/>
      </c>
      <c r="K1081">
        <f>HYPERLINK("https://twitter.com/Colliers")</f>
        <v/>
      </c>
      <c r="L1081">
        <f>HYPERLINK("https://facebook.com/colliersinternational/")</f>
        <v/>
      </c>
      <c r="M1081" t="inlineStr">
        <is>
          <t>London, United Kingdom</t>
        </is>
      </c>
      <c r="N1081" t="inlineStr">
        <is>
          <t>25,000</t>
        </is>
      </c>
      <c r="O1081" t="inlineStr">
        <is>
          <t>Commercial Real Estate</t>
        </is>
      </c>
      <c r="P1081" t="inlineStr">
        <is>
          <t>brokerage &amp; agency,corporate solutions,investment services</t>
        </is>
      </c>
      <c r="Q1081" t="inlineStr">
        <is>
          <t>Not Found</t>
        </is>
      </c>
    </row>
    <row r="1082">
      <c r="A1082" t="inlineStr">
        <is>
          <t>652f8ff121239d000163c643</t>
        </is>
      </c>
      <c r="B1082" t="inlineStr">
        <is>
          <t>Sasha Riddle</t>
        </is>
      </c>
      <c r="C1082">
        <f>HYPERLINK("http://www.linkedin.com/in/sasha-riddle-4056b747")</f>
        <v/>
      </c>
      <c r="D1082" t="inlineStr">
        <is>
          <t>Not Found</t>
        </is>
      </c>
      <c r="E1082" t="inlineStr">
        <is>
          <t>Director - Central London Retail Agency</t>
        </is>
      </c>
      <c r="F1082">
        <f>HYPERLINK("https://app.apollo.io/#/people/652f8ff121239d000163c643")</f>
        <v/>
      </c>
      <c r="G1082" t="inlineStr">
        <is>
          <t>Colliers</t>
        </is>
      </c>
      <c r="H1082">
        <f>HYPERLINK("https://app.apollo.io/#/accounts/64aaf6c63d556a0001e8eda6")</f>
        <v/>
      </c>
      <c r="I1082">
        <f>HYPERLINK("http://www.colliers.com/")</f>
        <v/>
      </c>
      <c r="J1082">
        <f>HYPERLINK("http://www.linkedin.com/company/colliers")</f>
        <v/>
      </c>
      <c r="K1082">
        <f>HYPERLINK("https://twitter.com/Colliers")</f>
        <v/>
      </c>
      <c r="L1082">
        <f>HYPERLINK("https://facebook.com/colliersinternational/")</f>
        <v/>
      </c>
      <c r="M1082" t="inlineStr">
        <is>
          <t>London, United Kingdom</t>
        </is>
      </c>
      <c r="N1082" t="inlineStr">
        <is>
          <t>25,000</t>
        </is>
      </c>
      <c r="O1082" t="inlineStr">
        <is>
          <t>Commercial Real Estate</t>
        </is>
      </c>
      <c r="P1082" t="inlineStr">
        <is>
          <t>brokerage &amp; agency,corporate solutions,investment services</t>
        </is>
      </c>
      <c r="Q1082" t="inlineStr">
        <is>
          <t>Not Found</t>
        </is>
      </c>
    </row>
    <row r="1083">
      <c r="A1083" t="inlineStr">
        <is>
          <t>54a4e80d7468693209eb856c</t>
        </is>
      </c>
      <c r="B1083" t="inlineStr">
        <is>
          <t>Tom Marsden</t>
        </is>
      </c>
      <c r="C1083">
        <f>HYPERLINK("http://www.linkedin.com/in/tommarsden")</f>
        <v/>
      </c>
      <c r="D1083" t="inlineStr">
        <is>
          <t>Not Found</t>
        </is>
      </c>
      <c r="E1083" t="inlineStr">
        <is>
          <t>Director - Central London Occupier Advisory</t>
        </is>
      </c>
      <c r="F1083">
        <f>HYPERLINK("https://app.apollo.io/#/people/54a4e80d7468693209eb856c")</f>
        <v/>
      </c>
      <c r="G1083" t="inlineStr">
        <is>
          <t>Colliers</t>
        </is>
      </c>
      <c r="H1083">
        <f>HYPERLINK("https://app.apollo.io/#/accounts/64aaf6c63d556a0001e8eda6")</f>
        <v/>
      </c>
      <c r="I1083">
        <f>HYPERLINK("http://www.colliers.com/")</f>
        <v/>
      </c>
      <c r="J1083">
        <f>HYPERLINK("http://www.linkedin.com/company/colliers")</f>
        <v/>
      </c>
      <c r="K1083">
        <f>HYPERLINK("https://twitter.com/Colliers")</f>
        <v/>
      </c>
      <c r="L1083">
        <f>HYPERLINK("https://facebook.com/colliersinternational/")</f>
        <v/>
      </c>
      <c r="M1083" t="inlineStr">
        <is>
          <t>London, United Kingdom</t>
        </is>
      </c>
      <c r="N1083" t="inlineStr">
        <is>
          <t>25,000</t>
        </is>
      </c>
      <c r="O1083" t="inlineStr">
        <is>
          <t>Commercial Real Estate</t>
        </is>
      </c>
      <c r="P1083" t="inlineStr">
        <is>
          <t>brokerage &amp; agency,corporate solutions,investment services</t>
        </is>
      </c>
      <c r="Q1083" t="inlineStr">
        <is>
          <t>Not Found</t>
        </is>
      </c>
    </row>
    <row r="1084">
      <c r="A1084" t="inlineStr">
        <is>
          <t>623b1cde29fb230001466cd4</t>
        </is>
      </c>
      <c r="B1084" t="inlineStr">
        <is>
          <t>Robert Goodman</t>
        </is>
      </c>
      <c r="C1084">
        <f>HYPERLINK("http://www.linkedin.com/in/robertgoodman1")</f>
        <v/>
      </c>
      <c r="D1084" t="inlineStr">
        <is>
          <t>Not Found</t>
        </is>
      </c>
      <c r="E1084" t="inlineStr">
        <is>
          <t>Retail Director Shopping Centres and Urban Opportunities</t>
        </is>
      </c>
      <c r="F1084">
        <f>HYPERLINK("https://app.apollo.io/#/people/623b1cde29fb230001466cd4")</f>
        <v/>
      </c>
      <c r="G1084" t="inlineStr">
        <is>
          <t>Landsec</t>
        </is>
      </c>
      <c r="H1084">
        <f>HYPERLINK("https://app.apollo.io/#/accounts/6578b86a75dc3a02ccc995c8")</f>
        <v/>
      </c>
      <c r="I1084">
        <f>HYPERLINK("http://www.landsec.com/")</f>
        <v/>
      </c>
      <c r="J1084">
        <f>HYPERLINK("http://www.linkedin.com/company/landsec")</f>
        <v/>
      </c>
      <c r="K1084">
        <f>HYPERLINK("https://twitter.com/landsecgroup?lang=en")</f>
        <v/>
      </c>
      <c r="L1084">
        <f>HYPERLINK("https://facebook.com/pages/category/Real-Estate-Company/Landsec-Group-335042077050643/")</f>
        <v/>
      </c>
      <c r="M1084" t="inlineStr">
        <is>
          <t>United Kingdom</t>
        </is>
      </c>
      <c r="N1084" t="inlineStr">
        <is>
          <t>860</t>
        </is>
      </c>
      <c r="O1084" t="inlineStr">
        <is>
          <t>Commercial Real Estate</t>
        </is>
      </c>
      <c r="P1084" t="inlineStr">
        <is>
          <t>property investment,management &amp; development</t>
        </is>
      </c>
      <c r="Q1084" t="inlineStr">
        <is>
          <t>Not Found</t>
        </is>
      </c>
    </row>
    <row r="1085">
      <c r="A1085" t="inlineStr">
        <is>
          <t>54a3b9f07468693b8c85cf0d</t>
        </is>
      </c>
      <c r="B1085" t="inlineStr">
        <is>
          <t>Stuart Davis</t>
        </is>
      </c>
      <c r="C1085">
        <f>HYPERLINK("http://www.linkedin.com/in/stuart-davis-b8441914")</f>
        <v/>
      </c>
      <c r="D1085" t="inlineStr">
        <is>
          <t>Not Found</t>
        </is>
      </c>
      <c r="E1085" t="inlineStr">
        <is>
          <t>Managing Director - Southwark Construction, London Borough</t>
        </is>
      </c>
      <c r="F1085">
        <f>HYPERLINK("https://app.apollo.io/#/people/54a3b9f07468693b8c85cf0d")</f>
        <v/>
      </c>
      <c r="G1085" t="inlineStr">
        <is>
          <t>Southwark</t>
        </is>
      </c>
      <c r="H1085">
        <f>HYPERLINK("https://app.apollo.io/#/organizations/5ed9e5a2a8c47e00012f88c9")</f>
        <v/>
      </c>
      <c r="I1085">
        <f>HYPERLINK("http://www.southwark.lu/")</f>
        <v/>
      </c>
      <c r="J1085">
        <f>HYPERLINK("http://www.linkedin.com/company/southwark-sarl-s")</f>
        <v/>
      </c>
      <c r="K1085">
        <f>HYPERLINK("https://twitter.com/southwark_lu")</f>
        <v/>
      </c>
      <c r="L1085">
        <f>HYPERLINK("Not Found")</f>
        <v/>
      </c>
      <c r="M1085" t="inlineStr">
        <is>
          <t>London, United Kingdom</t>
        </is>
      </c>
      <c r="N1085" t="inlineStr">
        <is>
          <t>1</t>
        </is>
      </c>
      <c r="O1085" t="inlineStr">
        <is>
          <t>Commercial Real Estate</t>
        </is>
      </c>
      <c r="P1085" t="inlineStr">
        <is>
          <t>advisory,real estate,investor solutions,strategy</t>
        </is>
      </c>
      <c r="Q1085" t="inlineStr">
        <is>
          <t>Not Found</t>
        </is>
      </c>
    </row>
    <row r="1086">
      <c r="A1086" t="inlineStr">
        <is>
          <t>64abc1ba367ed30001b0ca9c</t>
        </is>
      </c>
      <c r="B1086" t="inlineStr">
        <is>
          <t>Mark Passer</t>
        </is>
      </c>
      <c r="C1086">
        <f>HYPERLINK("http://www.linkedin.com/in/mark-passer-7389b745")</f>
        <v/>
      </c>
      <c r="D1086" t="inlineStr">
        <is>
          <t>Not Found</t>
        </is>
      </c>
      <c r="E1086" t="inlineStr">
        <is>
          <t>Director, Enterprise Clients, EMEA Occupier Services</t>
        </is>
      </c>
      <c r="F1086">
        <f>HYPERLINK("https://app.apollo.io/#/people/64abc1ba367ed30001b0ca9c")</f>
        <v/>
      </c>
      <c r="G1086" t="inlineStr">
        <is>
          <t>Colliers</t>
        </is>
      </c>
      <c r="H1086">
        <f>HYPERLINK("https://app.apollo.io/#/accounts/64aaf6c63d556a0001e8eda6")</f>
        <v/>
      </c>
      <c r="I1086">
        <f>HYPERLINK("http://www.colliers.com/")</f>
        <v/>
      </c>
      <c r="J1086">
        <f>HYPERLINK("http://www.linkedin.com/company/colliers")</f>
        <v/>
      </c>
      <c r="K1086">
        <f>HYPERLINK("https://twitter.com/Colliers")</f>
        <v/>
      </c>
      <c r="L1086">
        <f>HYPERLINK("https://facebook.com/colliersinternational/")</f>
        <v/>
      </c>
      <c r="M1086" t="inlineStr">
        <is>
          <t>London, United Kingdom</t>
        </is>
      </c>
      <c r="N1086" t="inlineStr">
        <is>
          <t>25,000</t>
        </is>
      </c>
      <c r="O1086" t="inlineStr">
        <is>
          <t>Commercial Real Estate</t>
        </is>
      </c>
      <c r="P1086" t="inlineStr">
        <is>
          <t>brokerage &amp; agency,corporate solutions,investment services</t>
        </is>
      </c>
      <c r="Q1086" t="inlineStr">
        <is>
          <t>Not Found</t>
        </is>
      </c>
    </row>
    <row r="1087">
      <c r="A1087" t="inlineStr">
        <is>
          <t>57d67442a6da985431bf614a</t>
        </is>
      </c>
      <c r="B1087" t="inlineStr">
        <is>
          <t>Alex Koumarelas</t>
        </is>
      </c>
      <c r="C1087">
        <f>HYPERLINK("http://www.linkedin.com/in/alex-koumarelas-5a4205103")</f>
        <v/>
      </c>
      <c r="D1087" t="inlineStr">
        <is>
          <t>Not Found</t>
        </is>
      </c>
      <c r="E1087" t="inlineStr">
        <is>
          <t>Director, IT Services - UK and Europe</t>
        </is>
      </c>
      <c r="F1087">
        <f>HYPERLINK("https://app.apollo.io/#/people/57d67442a6da985431bf614a")</f>
        <v/>
      </c>
      <c r="G1087" t="inlineStr">
        <is>
          <t>CBRE Global Workplace Solutions (GWS)</t>
        </is>
      </c>
      <c r="H1087">
        <f>HYPERLINK("https://app.apollo.io/#/accounts/6509fed6f449800001b69a15")</f>
        <v/>
      </c>
      <c r="I1087">
        <f>HYPERLINK("http://www.coor.com/")</f>
        <v/>
      </c>
      <c r="J1087">
        <f>HYPERLINK("http://www.linkedin.com/company/cbre-gws")</f>
        <v/>
      </c>
      <c r="K1087">
        <f>HYPERLINK("Not Found")</f>
        <v/>
      </c>
      <c r="L1087">
        <f>HYPERLINK("Not Found")</f>
        <v/>
      </c>
      <c r="M1087" t="inlineStr">
        <is>
          <t>London, United Kingdom</t>
        </is>
      </c>
      <c r="N1087" t="inlineStr">
        <is>
          <t>15,000</t>
        </is>
      </c>
      <c r="O1087" t="inlineStr">
        <is>
          <t>Commercial Real Estate</t>
        </is>
      </c>
      <c r="P1087" t="inlineStr">
        <is>
          <t>project management,advisory,transaction services</t>
        </is>
      </c>
      <c r="Q1087" t="inlineStr">
        <is>
          <t>Not Found</t>
        </is>
      </c>
    </row>
    <row r="1088">
      <c r="A1088" t="inlineStr">
        <is>
          <t>5e7d5cbf7d62eb0001b638c2</t>
        </is>
      </c>
      <c r="B1088" t="inlineStr">
        <is>
          <t>Amy Griffiths</t>
        </is>
      </c>
      <c r="C1088">
        <f>HYPERLINK("http://www.linkedin.com/in/amy-griffiths-3b28751a")</f>
        <v/>
      </c>
      <c r="D1088" t="inlineStr">
        <is>
          <t>Not Found</t>
        </is>
      </c>
      <c r="E1088" t="inlineStr">
        <is>
          <t>Director, National Capital Markets - Debt Advisory</t>
        </is>
      </c>
      <c r="F1088">
        <f>HYPERLINK("https://app.apollo.io/#/people/5e7d5cbf7d62eb0001b638c2")</f>
        <v/>
      </c>
      <c r="G1088" t="inlineStr">
        <is>
          <t>Colliers</t>
        </is>
      </c>
      <c r="H1088">
        <f>HYPERLINK("https://app.apollo.io/#/accounts/64aaf6c63d556a0001e8eda6")</f>
        <v/>
      </c>
      <c r="I1088">
        <f>HYPERLINK("http://www.colliers.com/")</f>
        <v/>
      </c>
      <c r="J1088">
        <f>HYPERLINK("http://www.linkedin.com/company/colliers")</f>
        <v/>
      </c>
      <c r="K1088">
        <f>HYPERLINK("https://twitter.com/Colliers")</f>
        <v/>
      </c>
      <c r="L1088">
        <f>HYPERLINK("https://facebook.com/colliersinternational/")</f>
        <v/>
      </c>
      <c r="M1088" t="inlineStr">
        <is>
          <t>London, United Kingdom</t>
        </is>
      </c>
      <c r="N1088" t="inlineStr">
        <is>
          <t>25,000</t>
        </is>
      </c>
      <c r="O1088" t="inlineStr">
        <is>
          <t>Commercial Real Estate</t>
        </is>
      </c>
      <c r="P1088" t="inlineStr">
        <is>
          <t>brokerage &amp; agency,corporate solutions,investment services</t>
        </is>
      </c>
      <c r="Q1088" t="inlineStr">
        <is>
          <t>Not Found</t>
        </is>
      </c>
    </row>
    <row r="1089">
      <c r="A1089" t="inlineStr">
        <is>
          <t>54a517c0746869344217547c</t>
        </is>
      </c>
      <c r="B1089" t="inlineStr">
        <is>
          <t>Richard Coombs</t>
        </is>
      </c>
      <c r="C1089">
        <f>HYPERLINK("http://www.linkedin.com/in/richard-coombs-b52aaa40")</f>
        <v/>
      </c>
      <c r="D1089" t="inlineStr">
        <is>
          <t>Not Found</t>
        </is>
      </c>
      <c r="E1089" t="inlineStr">
        <is>
          <t>Director. Head of SW National Capital Markets</t>
        </is>
      </c>
      <c r="F1089">
        <f>HYPERLINK("https://app.apollo.io/#/people/54a517c0746869344217547c")</f>
        <v/>
      </c>
      <c r="G1089" t="inlineStr">
        <is>
          <t>Colliers</t>
        </is>
      </c>
      <c r="H1089">
        <f>HYPERLINK("https://app.apollo.io/#/accounts/64aaf6c63d556a0001e8eda6")</f>
        <v/>
      </c>
      <c r="I1089">
        <f>HYPERLINK("http://www.colliers.com/")</f>
        <v/>
      </c>
      <c r="J1089">
        <f>HYPERLINK("http://www.linkedin.com/company/colliers")</f>
        <v/>
      </c>
      <c r="K1089">
        <f>HYPERLINK("https://twitter.com/Colliers")</f>
        <v/>
      </c>
      <c r="L1089">
        <f>HYPERLINK("https://facebook.com/colliersinternational/")</f>
        <v/>
      </c>
      <c r="M1089" t="inlineStr">
        <is>
          <t>Bristol, United Kingdom</t>
        </is>
      </c>
      <c r="N1089" t="inlineStr">
        <is>
          <t>25,000</t>
        </is>
      </c>
      <c r="O1089" t="inlineStr">
        <is>
          <t>Commercial Real Estate</t>
        </is>
      </c>
      <c r="P1089" t="inlineStr">
        <is>
          <t>brokerage &amp; agency,corporate solutions,investment services</t>
        </is>
      </c>
      <c r="Q1089" t="inlineStr">
        <is>
          <t>Not Found</t>
        </is>
      </c>
    </row>
    <row r="1090">
      <c r="A1090" t="inlineStr">
        <is>
          <t>54a86e0374686938c709be00</t>
        </is>
      </c>
      <c r="B1090" t="inlineStr">
        <is>
          <t>Gemma Daly-Gunn</t>
        </is>
      </c>
      <c r="C1090">
        <f>HYPERLINK("http://www.linkedin.com/in/gemmadaly")</f>
        <v/>
      </c>
      <c r="D1090" t="inlineStr">
        <is>
          <t>Not Found</t>
        </is>
      </c>
      <c r="E1090" t="inlineStr">
        <is>
          <t>Director and Head of Bristol Valuation and Advisory Services</t>
        </is>
      </c>
      <c r="F1090">
        <f>HYPERLINK("https://app.apollo.io/#/people/54a86e0374686938c709be00")</f>
        <v/>
      </c>
      <c r="G1090" t="inlineStr">
        <is>
          <t>Colliers</t>
        </is>
      </c>
      <c r="H1090">
        <f>HYPERLINK("https://app.apollo.io/#/accounts/64aaf6c63d556a0001e8eda6")</f>
        <v/>
      </c>
      <c r="I1090">
        <f>HYPERLINK("http://www.colliers.com/")</f>
        <v/>
      </c>
      <c r="J1090">
        <f>HYPERLINK("http://www.linkedin.com/company/colliers")</f>
        <v/>
      </c>
      <c r="K1090">
        <f>HYPERLINK("https://twitter.com/Colliers")</f>
        <v/>
      </c>
      <c r="L1090">
        <f>HYPERLINK("https://facebook.com/colliersinternational/")</f>
        <v/>
      </c>
      <c r="M1090" t="inlineStr">
        <is>
          <t>Bristol, United Kingdom</t>
        </is>
      </c>
      <c r="N1090" t="inlineStr">
        <is>
          <t>25,000</t>
        </is>
      </c>
      <c r="O1090" t="inlineStr">
        <is>
          <t>Commercial Real Estate</t>
        </is>
      </c>
      <c r="P1090" t="inlineStr">
        <is>
          <t>brokerage &amp; agency,corporate solutions,investment services</t>
        </is>
      </c>
      <c r="Q1090" t="inlineStr">
        <is>
          <t>Not Found</t>
        </is>
      </c>
    </row>
    <row r="1091">
      <c r="A1091" t="inlineStr">
        <is>
          <t>64de44b959e13c0001d3e771</t>
        </is>
      </c>
      <c r="B1091" t="inlineStr">
        <is>
          <t>Jacob Taylor</t>
        </is>
      </c>
      <c r="C1091">
        <f>HYPERLINK("http://www.linkedin.com/in/jacob-e-taylor")</f>
        <v/>
      </c>
      <c r="D1091" t="inlineStr">
        <is>
          <t>Not Found</t>
        </is>
      </c>
      <c r="E1091" t="inlineStr">
        <is>
          <t>Strategic Land Director - Land Promotion Business</t>
        </is>
      </c>
      <c r="F1091">
        <f>HYPERLINK("https://app.apollo.io/#/people/64de44b959e13c0001d3e771")</f>
        <v/>
      </c>
      <c r="G1091" t="inlineStr">
        <is>
          <t>RO Group</t>
        </is>
      </c>
      <c r="H1091">
        <f>HYPERLINK("https://app.apollo.io/#/organizations/5d09ed3df65125d4cb2cdeba")</f>
        <v/>
      </c>
      <c r="I1091">
        <f>HYPERLINK("http://www.rogroup.co.uk/")</f>
        <v/>
      </c>
      <c r="J1091">
        <f>HYPERLINK("http://www.linkedin.com/company/ro-group")</f>
        <v/>
      </c>
      <c r="K1091">
        <f>HYPERLINK("Not Found")</f>
        <v/>
      </c>
      <c r="L1091">
        <f>HYPERLINK("Not Found")</f>
        <v/>
      </c>
      <c r="M1091" t="inlineStr">
        <is>
          <t>London, United Kingdom</t>
        </is>
      </c>
      <c r="N1091" t="inlineStr">
        <is>
          <t>26</t>
        </is>
      </c>
      <c r="O1091" t="inlineStr">
        <is>
          <t>Commercial Real Estate</t>
        </is>
      </c>
      <c r="P1091" t="inlineStr">
        <is>
          <t>real estate,trading,holiday lodge developments</t>
        </is>
      </c>
      <c r="Q1091" t="inlineStr">
        <is>
          <t>Not Found</t>
        </is>
      </c>
    </row>
    <row r="1092">
      <c r="A1092" t="inlineStr">
        <is>
          <t>5c373184a3ae6109988fcd44</t>
        </is>
      </c>
      <c r="B1092" t="inlineStr">
        <is>
          <t>Olivia Marsdale</t>
        </is>
      </c>
      <c r="C1092">
        <f>HYPERLINK("http://www.linkedin.com/in/oliviamarsdale")</f>
        <v/>
      </c>
      <c r="D1092" t="inlineStr">
        <is>
          <t>Not Found</t>
        </is>
      </c>
      <c r="E1092" t="inlineStr">
        <is>
          <t>Associate Director- ESG &amp; Sustainability and Corporate Services</t>
        </is>
      </c>
      <c r="F1092">
        <f>HYPERLINK("https://app.apollo.io/#/people/5c373184a3ae6109988fcd44")</f>
        <v/>
      </c>
      <c r="G1092" t="inlineStr">
        <is>
          <t>Cobalt Recruitment</t>
        </is>
      </c>
      <c r="H1092">
        <f>HYPERLINK("https://app.apollo.io/#/accounts/6578bcb206d0c302d071126c")</f>
        <v/>
      </c>
      <c r="I1092">
        <f>HYPERLINK("http://www.cobaltrecruitment.co.uk/")</f>
        <v/>
      </c>
      <c r="J1092">
        <f>HYPERLINK("http://www.linkedin.com/company/cobalt-recruitment")</f>
        <v/>
      </c>
      <c r="K1092">
        <f>HYPERLINK("https://twitter.com/CobaltRecruit")</f>
        <v/>
      </c>
      <c r="L1092">
        <f>HYPERLINK("https://www.facebook.com/cobaltrecruitment/")</f>
        <v/>
      </c>
      <c r="M1092" t="inlineStr">
        <is>
          <t>West End, United Kingdom</t>
        </is>
      </c>
      <c r="N1092" t="inlineStr">
        <is>
          <t>130</t>
        </is>
      </c>
      <c r="O1092" t="inlineStr">
        <is>
          <t>Commercial Real Estate</t>
        </is>
      </c>
      <c r="P1092" t="inlineStr">
        <is>
          <t>accounting,real estate,infrastructure,interim</t>
        </is>
      </c>
      <c r="Q1092" t="inlineStr">
        <is>
          <t>Not Found</t>
        </is>
      </c>
    </row>
    <row r="1093">
      <c r="A1093" t="inlineStr">
        <is>
          <t>62af3e5ce2b7d0000105bc2a</t>
        </is>
      </c>
      <c r="B1093" t="inlineStr">
        <is>
          <t>Istvan Toth</t>
        </is>
      </c>
      <c r="C1093">
        <f>HYPERLINK("http://www.linkedin.com/in/istvan-toth-9674a111")</f>
        <v/>
      </c>
      <c r="D1093" t="inlineStr">
        <is>
          <t>Not Found</t>
        </is>
      </c>
      <c r="E1093" t="inlineStr">
        <is>
          <t>Director, Global Capital Markets &amp; EMEA Research</t>
        </is>
      </c>
      <c r="F1093">
        <f>HYPERLINK("https://app.apollo.io/#/people/62af3e5ce2b7d0000105bc2a")</f>
        <v/>
      </c>
      <c r="G1093" t="inlineStr">
        <is>
          <t>Colliers</t>
        </is>
      </c>
      <c r="H1093">
        <f>HYPERLINK("https://app.apollo.io/#/accounts/64aaf6c63d556a0001e8eda6")</f>
        <v/>
      </c>
      <c r="I1093">
        <f>HYPERLINK("http://www.colliers.com/")</f>
        <v/>
      </c>
      <c r="J1093">
        <f>HYPERLINK("http://www.linkedin.com/company/colliers")</f>
        <v/>
      </c>
      <c r="K1093">
        <f>HYPERLINK("https://twitter.com/Colliers")</f>
        <v/>
      </c>
      <c r="L1093">
        <f>HYPERLINK("https://facebook.com/colliersinternational/")</f>
        <v/>
      </c>
      <c r="M1093" t="inlineStr">
        <is>
          <t>United Kingdom</t>
        </is>
      </c>
      <c r="N1093" t="inlineStr">
        <is>
          <t>25,000</t>
        </is>
      </c>
      <c r="O1093" t="inlineStr">
        <is>
          <t>Commercial Real Estate</t>
        </is>
      </c>
      <c r="P1093" t="inlineStr">
        <is>
          <t>brokerage &amp; agency,corporate solutions,investment services</t>
        </is>
      </c>
      <c r="Q1093" t="inlineStr">
        <is>
          <t>Not Found</t>
        </is>
      </c>
    </row>
    <row r="1094">
      <c r="A1094" t="inlineStr">
        <is>
          <t>5ac2ba9ea6da98e6b78bb32c</t>
        </is>
      </c>
      <c r="B1094" t="inlineStr">
        <is>
          <t>Neil Robinson</t>
        </is>
      </c>
      <c r="C1094">
        <f>HYPERLINK("http://www.linkedin.com/in/neil-robinson-2a44b76")</f>
        <v/>
      </c>
      <c r="D1094" t="inlineStr">
        <is>
          <t>Not Found</t>
        </is>
      </c>
      <c r="E1094" t="inlineStr">
        <is>
          <t>Director of Global Communications, Corporate Affairs and Marketing</t>
        </is>
      </c>
      <c r="F1094">
        <f>HYPERLINK("https://app.apollo.io/#/people/5ac2ba9ea6da98e6b78bb32c")</f>
        <v/>
      </c>
      <c r="G1094" t="inlineStr">
        <is>
          <t>RAD London</t>
        </is>
      </c>
      <c r="H1094">
        <f>HYPERLINK("https://app.apollo.io/#/organizations/5d33f909a3ae61bd4e92e28a")</f>
        <v/>
      </c>
      <c r="I1094">
        <f>HYPERLINK("http://www.rad.london/")</f>
        <v/>
      </c>
      <c r="J1094">
        <f>HYPERLINK("http://www.linkedin.com/company/radlondon")</f>
        <v/>
      </c>
      <c r="K1094">
        <f>HYPERLINK("Not Found")</f>
        <v/>
      </c>
      <c r="L1094">
        <f>HYPERLINK("Not Found")</f>
        <v/>
      </c>
      <c r="M1094" t="inlineStr">
        <is>
          <t>United Kingdom</t>
        </is>
      </c>
      <c r="N1094" t="inlineStr">
        <is>
          <t>4</t>
        </is>
      </c>
      <c r="O1094" t="inlineStr">
        <is>
          <t>Commercial Real Estate</t>
        </is>
      </c>
      <c r="Q1094" t="inlineStr">
        <is>
          <t>Not Found</t>
        </is>
      </c>
    </row>
    <row r="1095">
      <c r="A1095" t="inlineStr">
        <is>
          <t>6343290a4ee4e60001a13ed2</t>
        </is>
      </c>
      <c r="B1095" t="inlineStr">
        <is>
          <t>Kate Martin</t>
        </is>
      </c>
      <c r="C1095">
        <f>HYPERLINK("http://www.linkedin.com/in/kemartin")</f>
        <v/>
      </c>
      <c r="D1095" t="inlineStr">
        <is>
          <t>Not Found</t>
        </is>
      </c>
      <c r="E1095" t="inlineStr">
        <is>
          <t>Associate Director, EMEA Content &amp; Communications (0.8 FTE)</t>
        </is>
      </c>
      <c r="F1095">
        <f>HYPERLINK("https://app.apollo.io/#/people/6343290a4ee4e60001a13ed2")</f>
        <v/>
      </c>
      <c r="G1095" t="inlineStr">
        <is>
          <t>Colliers</t>
        </is>
      </c>
      <c r="H1095">
        <f>HYPERLINK("https://app.apollo.io/#/accounts/64aaf6c63d556a0001e8eda6")</f>
        <v/>
      </c>
      <c r="I1095">
        <f>HYPERLINK("http://www.colliers.com/")</f>
        <v/>
      </c>
      <c r="J1095">
        <f>HYPERLINK("http://www.linkedin.com/company/colliers")</f>
        <v/>
      </c>
      <c r="K1095">
        <f>HYPERLINK("https://twitter.com/Colliers")</f>
        <v/>
      </c>
      <c r="L1095">
        <f>HYPERLINK("https://facebook.com/colliersinternational/")</f>
        <v/>
      </c>
      <c r="M1095" t="inlineStr">
        <is>
          <t>London, United Kingdom</t>
        </is>
      </c>
      <c r="N1095" t="inlineStr">
        <is>
          <t>25,000</t>
        </is>
      </c>
      <c r="O1095" t="inlineStr">
        <is>
          <t>Commercial Real Estate</t>
        </is>
      </c>
      <c r="P1095" t="inlineStr">
        <is>
          <t>brokerage &amp; agency,corporate solutions,investment services</t>
        </is>
      </c>
      <c r="Q1095" t="inlineStr">
        <is>
          <t>Not Found</t>
        </is>
      </c>
    </row>
    <row r="1096">
      <c r="A1096" t="inlineStr">
        <is>
          <t>57d97c4aa6da98721aa33c7a</t>
        </is>
      </c>
      <c r="B1096" t="inlineStr">
        <is>
          <t>Mike Bentman</t>
        </is>
      </c>
      <c r="C1096">
        <f>HYPERLINK("http://www.linkedin.com/in/mike-bentman-9694301")</f>
        <v/>
      </c>
      <c r="D1096" t="inlineStr">
        <is>
          <t>Not Found</t>
        </is>
      </c>
      <c r="E1096" t="inlineStr">
        <is>
          <t>CBRE GWS UK Director of Technical Operations</t>
        </is>
      </c>
      <c r="F1096">
        <f>HYPERLINK("https://app.apollo.io/#/people/57d97c4aa6da98721aa33c7a")</f>
        <v/>
      </c>
      <c r="G1096" t="inlineStr">
        <is>
          <t>CBRE Global Workplace Solutions (GWS)</t>
        </is>
      </c>
      <c r="H1096">
        <f>HYPERLINK("https://app.apollo.io/#/accounts/6509fed6f449800001b69a15")</f>
        <v/>
      </c>
      <c r="I1096">
        <f>HYPERLINK("http://www.coor.com/")</f>
        <v/>
      </c>
      <c r="J1096">
        <f>HYPERLINK("http://www.linkedin.com/company/cbre-gws")</f>
        <v/>
      </c>
      <c r="K1096">
        <f>HYPERLINK("Not Found")</f>
        <v/>
      </c>
      <c r="L1096">
        <f>HYPERLINK("Not Found")</f>
        <v/>
      </c>
      <c r="M1096" t="inlineStr">
        <is>
          <t>Bath, United Kingdom</t>
        </is>
      </c>
      <c r="N1096" t="inlineStr">
        <is>
          <t>15,000</t>
        </is>
      </c>
      <c r="O1096" t="inlineStr">
        <is>
          <t>Commercial Real Estate</t>
        </is>
      </c>
      <c r="P1096" t="inlineStr">
        <is>
          <t>project management,advisory,transaction services</t>
        </is>
      </c>
      <c r="Q1096" t="inlineStr">
        <is>
          <t>Not Found</t>
        </is>
      </c>
    </row>
    <row r="1097">
      <c r="A1097" t="inlineStr">
        <is>
          <t>54a300147468693a7e27334d</t>
        </is>
      </c>
      <c r="B1097" t="inlineStr">
        <is>
          <t>Justin Lawson</t>
        </is>
      </c>
      <c r="C1097">
        <f>HYPERLINK("http://www.linkedin.com/in/justinlawson")</f>
        <v/>
      </c>
      <c r="D1097" t="inlineStr">
        <is>
          <t>Not Found</t>
        </is>
      </c>
      <c r="E1097" t="inlineStr">
        <is>
          <t>UK &amp; Ireland Managing Director | Enterprise Accounts</t>
        </is>
      </c>
      <c r="F1097">
        <f>HYPERLINK("https://app.apollo.io/#/people/54a300147468693a7e27334d")</f>
        <v/>
      </c>
      <c r="G1097" t="inlineStr">
        <is>
          <t>CBRE Global Workplace Solutions (GWS)</t>
        </is>
      </c>
      <c r="H1097">
        <f>HYPERLINK("https://app.apollo.io/#/accounts/6509fed6f449800001b69a15")</f>
        <v/>
      </c>
      <c r="I1097">
        <f>HYPERLINK("http://www.coor.com/")</f>
        <v/>
      </c>
      <c r="J1097">
        <f>HYPERLINK("http://www.linkedin.com/company/cbre-gws")</f>
        <v/>
      </c>
      <c r="K1097">
        <f>HYPERLINK("Not Found")</f>
        <v/>
      </c>
      <c r="L1097">
        <f>HYPERLINK("Not Found")</f>
        <v/>
      </c>
      <c r="M1097" t="inlineStr">
        <is>
          <t>Manchester, United Kingdom</t>
        </is>
      </c>
      <c r="N1097" t="inlineStr">
        <is>
          <t>15,000</t>
        </is>
      </c>
      <c r="O1097" t="inlineStr">
        <is>
          <t>Commercial Real Estate</t>
        </is>
      </c>
      <c r="P1097" t="inlineStr">
        <is>
          <t>project management,advisory,transaction services</t>
        </is>
      </c>
      <c r="Q1097" t="inlineStr">
        <is>
          <t>Not Found</t>
        </is>
      </c>
    </row>
    <row r="1098">
      <c r="A1098" t="inlineStr">
        <is>
          <t>55e2c9abf3e5bb4ef7004205</t>
        </is>
      </c>
      <c r="B1098" t="inlineStr">
        <is>
          <t>Lee Layton</t>
        </is>
      </c>
      <c r="C1098">
        <f>HYPERLINK("http://www.linkedin.com/in/lee-layton-701a2583")</f>
        <v/>
      </c>
      <c r="D1098" t="inlineStr">
        <is>
          <t>Not Found</t>
        </is>
      </c>
      <c r="E1098" t="inlineStr">
        <is>
          <t>Director - Head of Operational Real Estate Research</t>
        </is>
      </c>
      <c r="F1098">
        <f>HYPERLINK("https://app.apollo.io/#/people/55e2c9abf3e5bb4ef7004205")</f>
        <v/>
      </c>
      <c r="G1098" t="inlineStr">
        <is>
          <t>Colliers</t>
        </is>
      </c>
      <c r="H1098">
        <f>HYPERLINK("https://app.apollo.io/#/accounts/64aaf6c63d556a0001e8eda6")</f>
        <v/>
      </c>
      <c r="I1098">
        <f>HYPERLINK("http://www.colliers.com/")</f>
        <v/>
      </c>
      <c r="J1098">
        <f>HYPERLINK("http://www.linkedin.com/company/colliers")</f>
        <v/>
      </c>
      <c r="K1098">
        <f>HYPERLINK("https://twitter.com/Colliers")</f>
        <v/>
      </c>
      <c r="L1098">
        <f>HYPERLINK("https://facebook.com/colliersinternational/")</f>
        <v/>
      </c>
      <c r="M1098" t="inlineStr">
        <is>
          <t>London, United Kingdom</t>
        </is>
      </c>
      <c r="N1098" t="inlineStr">
        <is>
          <t>25,000</t>
        </is>
      </c>
      <c r="O1098" t="inlineStr">
        <is>
          <t>Commercial Real Estate</t>
        </is>
      </c>
      <c r="P1098" t="inlineStr">
        <is>
          <t>brokerage &amp; agency,corporate solutions,investment services</t>
        </is>
      </c>
      <c r="Q1098" t="inlineStr">
        <is>
          <t>Not Found</t>
        </is>
      </c>
    </row>
    <row r="1099">
      <c r="A1099" t="inlineStr">
        <is>
          <t>54a7a2257468696de7023447</t>
        </is>
      </c>
      <c r="B1099" t="inlineStr">
        <is>
          <t>Kevin Shepherd</t>
        </is>
      </c>
      <c r="C1099">
        <f>HYPERLINK("http://www.linkedin.com/in/kevin-shepherd-7717526")</f>
        <v/>
      </c>
      <c r="D1099" t="inlineStr">
        <is>
          <t>Not Found</t>
        </is>
      </c>
      <c r="E1099" t="inlineStr">
        <is>
          <t>Divisional Project Director National Accounts &amp; Europe</t>
        </is>
      </c>
      <c r="F1099">
        <f>HYPERLINK("https://app.apollo.io/#/people/54a7a2257468696de7023447")</f>
        <v/>
      </c>
      <c r="G1099" t="inlineStr">
        <is>
          <t>CBRE Global Workplace Solutions (GWS)</t>
        </is>
      </c>
      <c r="H1099">
        <f>HYPERLINK("https://app.apollo.io/#/accounts/6509fed6f449800001b69a15")</f>
        <v/>
      </c>
      <c r="I1099">
        <f>HYPERLINK("http://www.coor.com/")</f>
        <v/>
      </c>
      <c r="J1099">
        <f>HYPERLINK("http://www.linkedin.com/company/cbre-gws")</f>
        <v/>
      </c>
      <c r="K1099">
        <f>HYPERLINK("Not Found")</f>
        <v/>
      </c>
      <c r="L1099">
        <f>HYPERLINK("Not Found")</f>
        <v/>
      </c>
      <c r="M1099" t="inlineStr">
        <is>
          <t>London, United Kingdom</t>
        </is>
      </c>
      <c r="N1099" t="inlineStr">
        <is>
          <t>15,000</t>
        </is>
      </c>
      <c r="O1099" t="inlineStr">
        <is>
          <t>Commercial Real Estate</t>
        </is>
      </c>
      <c r="P1099" t="inlineStr">
        <is>
          <t>project management,advisory,transaction services</t>
        </is>
      </c>
      <c r="Q1099" t="inlineStr">
        <is>
          <t>Not Found</t>
        </is>
      </c>
    </row>
    <row r="1100">
      <c r="A1100" t="inlineStr">
        <is>
          <t>5cda4e45f65125d19fa62584</t>
        </is>
      </c>
      <c r="B1100" t="inlineStr">
        <is>
          <t>Phoebe Cobb</t>
        </is>
      </c>
      <c r="C1100">
        <f>HYPERLINK("http://www.linkedin.com/in/phoebe-cobb-a57644162")</f>
        <v/>
      </c>
      <c r="D1100" t="inlineStr">
        <is>
          <t>Not Found</t>
        </is>
      </c>
      <c r="E1100" t="inlineStr">
        <is>
          <t>Associate Director - EMEA Flexible Workspace Consultancy</t>
        </is>
      </c>
      <c r="F1100">
        <f>HYPERLINK("https://app.apollo.io/#/people/5cda4e45f65125d19fa62584")</f>
        <v/>
      </c>
      <c r="G1100" t="inlineStr">
        <is>
          <t>Colliers</t>
        </is>
      </c>
      <c r="H1100">
        <f>HYPERLINK("https://app.apollo.io/#/accounts/64aaf6c63d556a0001e8eda6")</f>
        <v/>
      </c>
      <c r="I1100">
        <f>HYPERLINK("http://www.colliers.com/")</f>
        <v/>
      </c>
      <c r="J1100">
        <f>HYPERLINK("http://www.linkedin.com/company/colliers")</f>
        <v/>
      </c>
      <c r="K1100">
        <f>HYPERLINK("https://twitter.com/Colliers")</f>
        <v/>
      </c>
      <c r="L1100">
        <f>HYPERLINK("https://facebook.com/colliersinternational/")</f>
        <v/>
      </c>
      <c r="M1100" t="inlineStr">
        <is>
          <t>London, United Kingdom</t>
        </is>
      </c>
      <c r="N1100" t="inlineStr">
        <is>
          <t>25,000</t>
        </is>
      </c>
      <c r="O1100" t="inlineStr">
        <is>
          <t>Commercial Real Estate</t>
        </is>
      </c>
      <c r="P1100" t="inlineStr">
        <is>
          <t>brokerage &amp; agency,corporate solutions,investment services</t>
        </is>
      </c>
      <c r="Q1100" t="inlineStr">
        <is>
          <t>Not Found</t>
        </is>
      </c>
    </row>
    <row r="1101">
      <c r="A1101" t="inlineStr">
        <is>
          <t>6346a6e684889a0001feb830</t>
        </is>
      </c>
      <c r="B1101" t="inlineStr">
        <is>
          <t>Stephen Lewis</t>
        </is>
      </c>
      <c r="C1101">
        <f>HYPERLINK("http://www.linkedin.com/in/stephenlewishfd")</f>
        <v/>
      </c>
      <c r="D1101" t="inlineStr">
        <is>
          <t>Not Found</t>
        </is>
      </c>
      <c r="E1101" t="inlineStr">
        <is>
          <t>Managing Director - HFD Property Group Ltd</t>
        </is>
      </c>
      <c r="F1101">
        <f>HYPERLINK("https://app.apollo.io/#/people/6346a6e684889a0001feb830")</f>
        <v/>
      </c>
      <c r="G1101" t="inlineStr">
        <is>
          <t>HFD Group</t>
        </is>
      </c>
      <c r="H1101">
        <f>HYPERLINK("https://app.apollo.io/#/accounts/6578be5cccf69c02cc54ee0c")</f>
        <v/>
      </c>
      <c r="I1101">
        <f>HYPERLINK("http://www.hfdgroup.com/")</f>
        <v/>
      </c>
      <c r="J1101">
        <f>HYPERLINK("http://www.linkedin.com/company/hfd-group")</f>
        <v/>
      </c>
      <c r="K1101">
        <f>HYPERLINK("Not Found")</f>
        <v/>
      </c>
      <c r="L1101">
        <f>HYPERLINK("Not Found")</f>
        <v/>
      </c>
      <c r="M1101" t="inlineStr">
        <is>
          <t>Glasgow, United Kingdom</t>
        </is>
      </c>
      <c r="N1101" t="inlineStr">
        <is>
          <t>55</t>
        </is>
      </c>
      <c r="O1101" t="inlineStr">
        <is>
          <t>Commercial Real Estate</t>
        </is>
      </c>
      <c r="P1101" t="inlineStr">
        <is>
          <t>commercial property investment,commercial property development</t>
        </is>
      </c>
      <c r="Q1101" t="inlineStr">
        <is>
          <t>Not Found</t>
        </is>
      </c>
    </row>
    <row r="1102">
      <c r="A1102" t="inlineStr">
        <is>
          <t>60c3345646d2b60001e5aad5</t>
        </is>
      </c>
      <c r="B1102" t="inlineStr">
        <is>
          <t>Adrian Davies</t>
        </is>
      </c>
      <c r="C1102">
        <f>HYPERLINK("http://www.linkedin.com/in/adrian-davies-02aa721")</f>
        <v/>
      </c>
      <c r="D1102" t="inlineStr">
        <is>
          <t>Not Found</t>
        </is>
      </c>
      <c r="E1102" t="inlineStr">
        <is>
          <t>Client Care Director - Colliers P&amp;BC</t>
        </is>
      </c>
      <c r="F1102">
        <f>HYPERLINK("https://app.apollo.io/#/people/60c3345646d2b60001e5aad5")</f>
        <v/>
      </c>
      <c r="G1102" t="inlineStr">
        <is>
          <t>Colliers</t>
        </is>
      </c>
      <c r="H1102">
        <f>HYPERLINK("https://app.apollo.io/#/accounts/64aaf6c63d556a0001e8eda6")</f>
        <v/>
      </c>
      <c r="I1102">
        <f>HYPERLINK("http://www.colliers.com/")</f>
        <v/>
      </c>
      <c r="J1102">
        <f>HYPERLINK("http://www.linkedin.com/company/colliers")</f>
        <v/>
      </c>
      <c r="K1102">
        <f>HYPERLINK("https://twitter.com/Colliers")</f>
        <v/>
      </c>
      <c r="L1102">
        <f>HYPERLINK("https://facebook.com/colliersinternational/")</f>
        <v/>
      </c>
      <c r="M1102" t="inlineStr">
        <is>
          <t>United Kingdom</t>
        </is>
      </c>
      <c r="N1102" t="inlineStr">
        <is>
          <t>25,000</t>
        </is>
      </c>
      <c r="O1102" t="inlineStr">
        <is>
          <t>Commercial Real Estate</t>
        </is>
      </c>
      <c r="P1102" t="inlineStr">
        <is>
          <t>brokerage &amp; agency,corporate solutions,investment services</t>
        </is>
      </c>
      <c r="Q1102" t="inlineStr">
        <is>
          <t>Not Found</t>
        </is>
      </c>
    </row>
    <row r="1103">
      <c r="A1103" t="inlineStr">
        <is>
          <t>55cbc1bdf3e5bb4b2a00129c</t>
        </is>
      </c>
      <c r="B1103" t="inlineStr">
        <is>
          <t>Paul Brammer</t>
        </is>
      </c>
      <c r="C1103">
        <f>HYPERLINK("http://www.linkedin.com/in/paul-brammer-69a0361a")</f>
        <v/>
      </c>
      <c r="D1103" t="inlineStr">
        <is>
          <t>Not Found</t>
        </is>
      </c>
      <c r="E1103" t="inlineStr">
        <is>
          <t>Projects Operations Director - Global Pharma Client</t>
        </is>
      </c>
      <c r="F1103">
        <f>HYPERLINK("https://app.apollo.io/#/people/55cbc1bdf3e5bb4b2a00129c")</f>
        <v/>
      </c>
      <c r="G1103" t="inlineStr">
        <is>
          <t>CBRE Global Workplace Solutions (GWS)</t>
        </is>
      </c>
      <c r="H1103">
        <f>HYPERLINK("https://app.apollo.io/#/accounts/6509fed6f449800001b69a15")</f>
        <v/>
      </c>
      <c r="I1103">
        <f>HYPERLINK("http://www.coor.com/")</f>
        <v/>
      </c>
      <c r="J1103">
        <f>HYPERLINK("http://www.linkedin.com/company/cbre-gws")</f>
        <v/>
      </c>
      <c r="K1103">
        <f>HYPERLINK("Not Found")</f>
        <v/>
      </c>
      <c r="L1103">
        <f>HYPERLINK("Not Found")</f>
        <v/>
      </c>
      <c r="M1103" t="inlineStr">
        <is>
          <t>Manchester, United Kingdom</t>
        </is>
      </c>
      <c r="N1103" t="inlineStr">
        <is>
          <t>15,000</t>
        </is>
      </c>
      <c r="O1103" t="inlineStr">
        <is>
          <t>Commercial Real Estate</t>
        </is>
      </c>
      <c r="P1103" t="inlineStr">
        <is>
          <t>project management,advisory,transaction services</t>
        </is>
      </c>
      <c r="Q1103" t="inlineStr">
        <is>
          <t>Not Found</t>
        </is>
      </c>
    </row>
    <row r="1104">
      <c r="A1104" t="inlineStr">
        <is>
          <t>60f86a87023c0a0001a89eaf</t>
        </is>
      </c>
      <c r="B1104" t="inlineStr">
        <is>
          <t>Allan Lahosky</t>
        </is>
      </c>
      <c r="C1104">
        <f>HYPERLINK("http://www.linkedin.com/in/allanlahosky")</f>
        <v/>
      </c>
      <c r="D1104" t="inlineStr">
        <is>
          <t>Not Found</t>
        </is>
      </c>
      <c r="E1104" t="inlineStr">
        <is>
          <t>Director, Business Technology and 3rd Party Integrations</t>
        </is>
      </c>
      <c r="F1104">
        <f>HYPERLINK("https://app.apollo.io/#/people/60f86a87023c0a0001a89eaf")</f>
        <v/>
      </c>
      <c r="G1104" t="inlineStr">
        <is>
          <t>Oxford Properties Group</t>
        </is>
      </c>
      <c r="H1104">
        <f>HYPERLINK("https://app.apollo.io/#/organizations/54a13c1d69702d267a40c301")</f>
        <v/>
      </c>
      <c r="I1104">
        <f>HYPERLINK("http://www.oxfordproperties.com/")</f>
        <v/>
      </c>
      <c r="J1104">
        <f>HYPERLINK("http://www.linkedin.com/company/oxford-properties-group")</f>
        <v/>
      </c>
      <c r="K1104">
        <f>HYPERLINK("https://twitter.com/oxfordpropgrp")</f>
        <v/>
      </c>
      <c r="L1104">
        <f>HYPERLINK("https://facebook.com/Oxford-Properties-Group-144027735748216/")</f>
        <v/>
      </c>
      <c r="M1104" t="inlineStr">
        <is>
          <t>London, United Kingdom</t>
        </is>
      </c>
      <c r="N1104" t="inlineStr">
        <is>
          <t>1,700</t>
        </is>
      </c>
      <c r="O1104" t="inlineStr">
        <is>
          <t>Commercial Real Estate</t>
        </is>
      </c>
      <c r="P1104" t="inlineStr">
        <is>
          <t>real estate,development,investment,property management</t>
        </is>
      </c>
      <c r="Q1104" t="inlineStr">
        <is>
          <t>Not Found</t>
        </is>
      </c>
    </row>
    <row r="1105">
      <c r="A1105" t="inlineStr">
        <is>
          <t>631f4b9618b31400018d12dd</t>
        </is>
      </c>
      <c r="B1105" t="inlineStr">
        <is>
          <t>Neil Smith</t>
        </is>
      </c>
      <c r="C1105">
        <f>HYPERLINK("http://www.linkedin.com/in/neil-a-j-smith")</f>
        <v/>
      </c>
      <c r="D1105" t="inlineStr">
        <is>
          <t>Not Found</t>
        </is>
      </c>
      <c r="E1105" t="inlineStr">
        <is>
          <t>EMEA DIRECTOR OF PMO &amp; SPECIAL PROJECTS (CONTRACT)</t>
        </is>
      </c>
      <c r="F1105">
        <f>HYPERLINK("https://app.apollo.io/#/people/631f4b9618b31400018d12dd")</f>
        <v/>
      </c>
      <c r="G1105" t="inlineStr">
        <is>
          <t>CBRE Global Workplace Solutions (GWS)</t>
        </is>
      </c>
      <c r="H1105">
        <f>HYPERLINK("https://app.apollo.io/#/accounts/6509fed6f449800001b69a15")</f>
        <v/>
      </c>
      <c r="I1105">
        <f>HYPERLINK("http://www.coor.com/")</f>
        <v/>
      </c>
      <c r="J1105">
        <f>HYPERLINK("http://www.linkedin.com/company/cbre-gws")</f>
        <v/>
      </c>
      <c r="K1105">
        <f>HYPERLINK("Not Found")</f>
        <v/>
      </c>
      <c r="L1105">
        <f>HYPERLINK("Not Found")</f>
        <v/>
      </c>
      <c r="M1105" t="inlineStr">
        <is>
          <t>Ashtead, United Kingdom</t>
        </is>
      </c>
      <c r="N1105" t="inlineStr">
        <is>
          <t>15,000</t>
        </is>
      </c>
      <c r="O1105" t="inlineStr">
        <is>
          <t>Commercial Real Estate</t>
        </is>
      </c>
      <c r="P1105" t="inlineStr">
        <is>
          <t>project management,advisory,transaction services</t>
        </is>
      </c>
      <c r="Q1105" t="inlineStr">
        <is>
          <t>Not Found</t>
        </is>
      </c>
    </row>
    <row r="1106">
      <c r="A1106" t="inlineStr">
        <is>
          <t>64ad5f0f8a42a2000129f692</t>
        </is>
      </c>
      <c r="B1106" t="inlineStr">
        <is>
          <t>Anna Dowson</t>
        </is>
      </c>
      <c r="C1106">
        <f>HYPERLINK("http://www.linkedin.com/in/anna-carolina-dowson-09123212")</f>
        <v/>
      </c>
      <c r="D1106" t="inlineStr">
        <is>
          <t>Not Found</t>
        </is>
      </c>
      <c r="E1106" t="inlineStr">
        <is>
          <t>Global ESG Director - Data Center Solutions</t>
        </is>
      </c>
      <c r="F1106">
        <f>HYPERLINK("https://app.apollo.io/#/people/64ad5f0f8a42a2000129f692")</f>
        <v/>
      </c>
      <c r="G1106" t="inlineStr">
        <is>
          <t>CBRE Global Workplace Solutions (GWS)</t>
        </is>
      </c>
      <c r="H1106">
        <f>HYPERLINK("https://app.apollo.io/#/accounts/6509fed6f449800001b69a15")</f>
        <v/>
      </c>
      <c r="I1106">
        <f>HYPERLINK("http://www.coor.com/")</f>
        <v/>
      </c>
      <c r="J1106">
        <f>HYPERLINK("http://www.linkedin.com/company/cbre-gws")</f>
        <v/>
      </c>
      <c r="K1106">
        <f>HYPERLINK("Not Found")</f>
        <v/>
      </c>
      <c r="L1106">
        <f>HYPERLINK("Not Found")</f>
        <v/>
      </c>
      <c r="M1106" t="inlineStr">
        <is>
          <t>London, United Kingdom</t>
        </is>
      </c>
      <c r="N1106" t="inlineStr">
        <is>
          <t>15,000</t>
        </is>
      </c>
      <c r="O1106" t="inlineStr">
        <is>
          <t>Commercial Real Estate</t>
        </is>
      </c>
      <c r="P1106" t="inlineStr">
        <is>
          <t>project management,advisory,transaction services</t>
        </is>
      </c>
      <c r="Q1106" t="inlineStr">
        <is>
          <t>Not Found</t>
        </is>
      </c>
    </row>
    <row r="1107">
      <c r="A1107" t="inlineStr">
        <is>
          <t>61fd0021b9fd210001ba6e8f</t>
        </is>
      </c>
      <c r="B1107" t="inlineStr">
        <is>
          <t>Kelly Mathieson</t>
        </is>
      </c>
      <c r="C1107">
        <f>HYPERLINK("http://www.linkedin.com/in/kelly-mathieson-28397a11")</f>
        <v/>
      </c>
      <c r="D1107" t="inlineStr">
        <is>
          <t>Not Found</t>
        </is>
      </c>
      <c r="E1107" t="inlineStr">
        <is>
          <t>Director, Global Project Management Programs &amp; Assurance</t>
        </is>
      </c>
      <c r="F1107">
        <f>HYPERLINK("https://app.apollo.io/#/people/61fd0021b9fd210001ba6e8f")</f>
        <v/>
      </c>
      <c r="G1107" t="inlineStr">
        <is>
          <t>CBRE Global Workplace Solutions (GWS)</t>
        </is>
      </c>
      <c r="H1107">
        <f>HYPERLINK("https://app.apollo.io/#/accounts/6509fed6f449800001b69a15")</f>
        <v/>
      </c>
      <c r="I1107">
        <f>HYPERLINK("http://www.coor.com/")</f>
        <v/>
      </c>
      <c r="J1107">
        <f>HYPERLINK("http://www.linkedin.com/company/cbre-gws")</f>
        <v/>
      </c>
      <c r="K1107">
        <f>HYPERLINK("Not Found")</f>
        <v/>
      </c>
      <c r="L1107">
        <f>HYPERLINK("Not Found")</f>
        <v/>
      </c>
      <c r="M1107" t="inlineStr">
        <is>
          <t>United Kingdom</t>
        </is>
      </c>
      <c r="N1107" t="inlineStr">
        <is>
          <t>15,000</t>
        </is>
      </c>
      <c r="O1107" t="inlineStr">
        <is>
          <t>Commercial Real Estate</t>
        </is>
      </c>
      <c r="P1107" t="inlineStr">
        <is>
          <t>project management,advisory,transaction services</t>
        </is>
      </c>
      <c r="Q1107" t="inlineStr">
        <is>
          <t>Not Found</t>
        </is>
      </c>
    </row>
    <row r="1108">
      <c r="A1108" t="inlineStr">
        <is>
          <t>607dea3a6fc2740001505820</t>
        </is>
      </c>
      <c r="B1108" t="inlineStr">
        <is>
          <t>Alan Baird</t>
        </is>
      </c>
      <c r="C1108">
        <f>HYPERLINK("http://www.linkedin.com/in/alan-baird-8513a960")</f>
        <v/>
      </c>
      <c r="D1108" t="inlineStr">
        <is>
          <t>Not Found</t>
        </is>
      </c>
      <c r="E1108" t="inlineStr">
        <is>
          <t>Operations Director (Student Castle and Capitol Students)</t>
        </is>
      </c>
      <c r="F1108">
        <f>HYPERLINK("https://app.apollo.io/#/people/607dea3a6fc2740001505820")</f>
        <v/>
      </c>
      <c r="G1108" t="inlineStr">
        <is>
          <t>Student Castle</t>
        </is>
      </c>
      <c r="H1108">
        <f>HYPERLINK("https://app.apollo.io/#/organizations/57c4f7fca6da986a37a2fa97")</f>
        <v/>
      </c>
      <c r="I1108">
        <f>HYPERLINK("http://www.studentcastle.co.uk/")</f>
        <v/>
      </c>
      <c r="J1108">
        <f>HYPERLINK("http://www.linkedin.com/company/student-castle-limited")</f>
        <v/>
      </c>
      <c r="K1108">
        <f>HYPERLINK("https://twitter.com/StudentCastle")</f>
        <v/>
      </c>
      <c r="L1108">
        <f>HYPERLINK("https://facebook.com/StudentCastle")</f>
        <v/>
      </c>
      <c r="M1108" t="inlineStr">
        <is>
          <t>Manchester, United Kingdom</t>
        </is>
      </c>
      <c r="N1108" t="inlineStr">
        <is>
          <t>66</t>
        </is>
      </c>
      <c r="O1108" t="inlineStr">
        <is>
          <t>Commercial Real Estate</t>
        </is>
      </c>
      <c r="P1108" t="inlineStr">
        <is>
          <t>student accommodation,apartments,real estate</t>
        </is>
      </c>
      <c r="Q1108" t="inlineStr">
        <is>
          <t>Not Found</t>
        </is>
      </c>
    </row>
    <row r="1109">
      <c r="A1109" t="inlineStr">
        <is>
          <t>6578c36548f92e03e9979e77</t>
        </is>
      </c>
      <c r="B1109" t="inlineStr">
        <is>
          <t>Spyros Michaelides</t>
        </is>
      </c>
      <c r="C1109">
        <f>HYPERLINK("http://www.linkedin.com/in/spyros-michaelides-6b607a15")</f>
        <v/>
      </c>
      <c r="D1109" t="inlineStr">
        <is>
          <t>Not Found</t>
        </is>
      </c>
      <c r="E1109" t="inlineStr">
        <is>
          <t>Director</t>
        </is>
      </c>
      <c r="F1109">
        <f>HYPERLINK("https://app.apollo.io/#/contacts/6578c36548f92e03e9979e77")</f>
        <v/>
      </c>
      <c r="G1109" t="inlineStr">
        <is>
          <t>Colliers</t>
        </is>
      </c>
      <c r="H1109">
        <f>HYPERLINK("https://app.apollo.io/#/accounts/64aaf6c63d556a0001e8eda6")</f>
        <v/>
      </c>
      <c r="I1109">
        <f>HYPERLINK("http://www.colliers.com/")</f>
        <v/>
      </c>
      <c r="J1109">
        <f>HYPERLINK("http://www.linkedin.com/company/colliers")</f>
        <v/>
      </c>
      <c r="K1109">
        <f>HYPERLINK("https://twitter.com/Colliers")</f>
        <v/>
      </c>
      <c r="L1109">
        <f>HYPERLINK("https://facebook.com/colliersinternational/")</f>
        <v/>
      </c>
      <c r="M1109" t="inlineStr">
        <is>
          <t>London, United Kingdom</t>
        </is>
      </c>
      <c r="N1109" t="inlineStr">
        <is>
          <t>25,000</t>
        </is>
      </c>
      <c r="O1109" t="inlineStr">
        <is>
          <t>Commercial Real Estate</t>
        </is>
      </c>
      <c r="P1109" t="inlineStr">
        <is>
          <t>brokerage &amp; agency,corporate solutions</t>
        </is>
      </c>
      <c r="Q1109" t="inlineStr">
        <is>
          <t>+447753229313</t>
        </is>
      </c>
    </row>
    <row r="1110">
      <c r="A1110" t="inlineStr">
        <is>
          <t>6578c3ed48f92e02cc97ac4c</t>
        </is>
      </c>
      <c r="B1110" t="inlineStr">
        <is>
          <t>Daniel Jebreel</t>
        </is>
      </c>
      <c r="C1110">
        <f>HYPERLINK("http://www.linkedin.com/in/daniel-jebreel-82a0484a")</f>
        <v/>
      </c>
      <c r="D1110" t="inlineStr">
        <is>
          <t>Not Found</t>
        </is>
      </c>
      <c r="E1110" t="inlineStr">
        <is>
          <t>Director</t>
        </is>
      </c>
      <c r="F1110">
        <f>HYPERLINK("https://app.apollo.io/#/contacts/6578c3ed48f92e02cc97ac4c")</f>
        <v/>
      </c>
      <c r="G1110" t="inlineStr">
        <is>
          <t>Equinox Properties</t>
        </is>
      </c>
      <c r="H1110">
        <f>HYPERLINK("https://app.apollo.io/#/accounts/6578c3ed48f92e02cc97ac4e")</f>
        <v/>
      </c>
      <c r="I1110">
        <f>HYPERLINK("http://www.seattlespace.com/")</f>
        <v/>
      </c>
      <c r="J1110">
        <f>HYPERLINK("http://www.linkedin.com/company/equinox-properties")</f>
        <v/>
      </c>
      <c r="K1110">
        <f>HYPERLINK("Not Found")</f>
        <v/>
      </c>
      <c r="L1110">
        <f>HYPERLINK("Not Found")</f>
        <v/>
      </c>
      <c r="M1110" t="inlineStr">
        <is>
          <t>Manchester, United Kingdom</t>
        </is>
      </c>
      <c r="N1110" t="inlineStr">
        <is>
          <t>11</t>
        </is>
      </c>
      <c r="O1110" t="inlineStr">
        <is>
          <t>Commercial Real Estate</t>
        </is>
      </c>
      <c r="P1110" t="inlineStr">
        <is>
          <t>commercial real estate,real estate,real estate services</t>
        </is>
      </c>
      <c r="Q1110" t="inlineStr">
        <is>
          <t>(206)-547-7722</t>
        </is>
      </c>
    </row>
    <row r="1111">
      <c r="A1111" t="inlineStr">
        <is>
          <t>6578c3a4e0bc5402ccf928ca</t>
        </is>
      </c>
      <c r="B1111" t="inlineStr">
        <is>
          <t>Laurence Richardson</t>
        </is>
      </c>
      <c r="C1111">
        <f>HYPERLINK("http://www.linkedin.com/in/laurence-richardson-26356349")</f>
        <v/>
      </c>
      <c r="D1111" t="inlineStr">
        <is>
          <t>Not Found</t>
        </is>
      </c>
      <c r="E1111" t="inlineStr">
        <is>
          <t>Director</t>
        </is>
      </c>
      <c r="F1111">
        <f>HYPERLINK("https://app.apollo.io/#/contacts/6578c3a4e0bc5402ccf928ca")</f>
        <v/>
      </c>
      <c r="G1111" t="inlineStr">
        <is>
          <t>Colliers</t>
        </is>
      </c>
      <c r="H1111">
        <f>HYPERLINK("https://app.apollo.io/#/accounts/64aaf6c63d556a0001e8eda6")</f>
        <v/>
      </c>
      <c r="I1111">
        <f>HYPERLINK("http://www.colliers.com/")</f>
        <v/>
      </c>
      <c r="J1111">
        <f>HYPERLINK("http://www.linkedin.com/company/colliers")</f>
        <v/>
      </c>
      <c r="K1111">
        <f>HYPERLINK("https://twitter.com/Colliers")</f>
        <v/>
      </c>
      <c r="L1111">
        <f>HYPERLINK("https://facebook.com/colliersinternational/")</f>
        <v/>
      </c>
      <c r="M1111" t="inlineStr">
        <is>
          <t>United Kingdom</t>
        </is>
      </c>
      <c r="N1111" t="inlineStr">
        <is>
          <t>25,000</t>
        </is>
      </c>
      <c r="O1111" t="inlineStr">
        <is>
          <t>Commercial Real Estate</t>
        </is>
      </c>
      <c r="P1111" t="inlineStr">
        <is>
          <t>brokerage &amp; agency,corporate solutions</t>
        </is>
      </c>
      <c r="Q1111" t="inlineStr">
        <is>
          <t>+441534756224</t>
        </is>
      </c>
    </row>
    <row r="1112">
      <c r="A1112" t="inlineStr">
        <is>
          <t>6578c3ae48f92e03e9979f8f</t>
        </is>
      </c>
      <c r="B1112" t="inlineStr">
        <is>
          <t>Geoff Tindsley</t>
        </is>
      </c>
      <c r="C1112">
        <f>HYPERLINK("http://www.linkedin.com/in/geoff-tindsley-45564642")</f>
        <v/>
      </c>
      <c r="D1112" t="inlineStr">
        <is>
          <t>Not Found</t>
        </is>
      </c>
      <c r="E1112" t="inlineStr">
        <is>
          <t>Director</t>
        </is>
      </c>
      <c r="F1112">
        <f>HYPERLINK("https://app.apollo.io/#/contacts/6578c3ae48f92e03e9979f8f")</f>
        <v/>
      </c>
      <c r="G1112" t="inlineStr">
        <is>
          <t>EDGE</t>
        </is>
      </c>
      <c r="H1112">
        <f>HYPERLINK("https://app.apollo.io/#/accounts/6578c3ae48f92e03e9979f91")</f>
        <v/>
      </c>
      <c r="I1112">
        <f>HYPERLINK("http://www.edge.tech/")</f>
        <v/>
      </c>
      <c r="J1112">
        <f>HYPERLINK("http://www.linkedin.com/company/edge-real-tech")</f>
        <v/>
      </c>
      <c r="K1112">
        <f>HYPERLINK("https://twitter.com/edgetech_")</f>
        <v/>
      </c>
      <c r="L1112">
        <f>HYPERLINK("Not Found")</f>
        <v/>
      </c>
      <c r="M1112" t="inlineStr">
        <is>
          <t>England, United Kingdom</t>
        </is>
      </c>
      <c r="N1112" t="inlineStr">
        <is>
          <t>180</t>
        </is>
      </c>
      <c r="O1112" t="inlineStr">
        <is>
          <t>Commercial Real Estate</t>
        </is>
      </c>
      <c r="P1112" t="inlineStr">
        <is>
          <t>circular economy,building development</t>
        </is>
      </c>
      <c r="Q1112" t="inlineStr">
        <is>
          <t>+31881701000</t>
        </is>
      </c>
    </row>
    <row r="1113">
      <c r="A1113" t="inlineStr">
        <is>
          <t>6578c31c48f92e01ae97bd23</t>
        </is>
      </c>
      <c r="B1113" t="inlineStr">
        <is>
          <t>James Lewis</t>
        </is>
      </c>
      <c r="C1113">
        <f>HYPERLINK("http://www.linkedin.com/in/james-lewis-79749a5b")</f>
        <v/>
      </c>
      <c r="D1113" t="inlineStr">
        <is>
          <t>Not Found</t>
        </is>
      </c>
      <c r="E1113" t="inlineStr">
        <is>
          <t>Director</t>
        </is>
      </c>
      <c r="F1113">
        <f>HYPERLINK("https://app.apollo.io/#/contacts/6578c31c48f92e01ae97bd23")</f>
        <v/>
      </c>
      <c r="G1113" t="inlineStr">
        <is>
          <t>CANMOOR</t>
        </is>
      </c>
      <c r="H1113">
        <f>HYPERLINK("https://app.apollo.io/#/accounts/6578c31c48f92e01ae97bd25")</f>
        <v/>
      </c>
      <c r="I1113">
        <f>HYPERLINK("http://www.canmoor.com/")</f>
        <v/>
      </c>
      <c r="J1113">
        <f>HYPERLINK("http://www.linkedin.com/company/canmoor-asset-management-limited")</f>
        <v/>
      </c>
      <c r="K1113">
        <f>HYPERLINK("Not Found")</f>
        <v/>
      </c>
      <c r="L1113">
        <f>HYPERLINK("Not Found")</f>
        <v/>
      </c>
      <c r="M1113" t="inlineStr">
        <is>
          <t>Manchester, United Kingdom</t>
        </is>
      </c>
      <c r="N1113" t="inlineStr">
        <is>
          <t>22</t>
        </is>
      </c>
      <c r="O1113" t="inlineStr">
        <is>
          <t>Commercial Real Estate</t>
        </is>
      </c>
      <c r="Q1113" t="inlineStr">
        <is>
          <t>+447800989916</t>
        </is>
      </c>
    </row>
    <row r="1114">
      <c r="A1114" t="inlineStr">
        <is>
          <t>6578c2471823b2065b2f075f</t>
        </is>
      </c>
      <c r="B1114" t="inlineStr">
        <is>
          <t>Dan Felgate</t>
        </is>
      </c>
      <c r="C1114">
        <f>HYPERLINK("http://www.linkedin.com/in/dan-felgate-3453253a")</f>
        <v/>
      </c>
      <c r="D1114" t="inlineStr">
        <is>
          <t>Not Found</t>
        </is>
      </c>
      <c r="E1114" t="inlineStr">
        <is>
          <t>Director</t>
        </is>
      </c>
      <c r="F1114">
        <f>HYPERLINK("https://app.apollo.io/#/contacts/6578c2471823b2065b2f075f")</f>
        <v/>
      </c>
      <c r="G1114" t="inlineStr">
        <is>
          <t>Trinovant Surveyors Limited</t>
        </is>
      </c>
      <c r="H1114">
        <f>HYPERLINK("https://app.apollo.io/#/accounts/6578c2471823b2065b2f0761")</f>
        <v/>
      </c>
      <c r="I1114">
        <f>HYPERLINK("http://www.trinovant.co.uk/")</f>
        <v/>
      </c>
      <c r="J1114">
        <f>HYPERLINK("http://www.linkedin.com/company/trinovant-surveyors-limited")</f>
        <v/>
      </c>
      <c r="K1114">
        <f>HYPERLINK("Not Found")</f>
        <v/>
      </c>
      <c r="L1114">
        <f>HYPERLINK("Not Found")</f>
        <v/>
      </c>
      <c r="M1114" t="inlineStr">
        <is>
          <t>United Kingdom</t>
        </is>
      </c>
      <c r="N1114" t="inlineStr">
        <is>
          <t>6</t>
        </is>
      </c>
      <c r="O1114" t="inlineStr">
        <is>
          <t>Commercial Real Estate</t>
        </is>
      </c>
      <c r="P1114" t="inlineStr">
        <is>
          <t>contract administration,preacquisition surveys</t>
        </is>
      </c>
      <c r="Q1114" t="inlineStr">
        <is>
          <t>+442076276069</t>
        </is>
      </c>
    </row>
    <row r="1115">
      <c r="A1115" t="inlineStr">
        <is>
          <t>6578c27348f92e02cc97a589</t>
        </is>
      </c>
      <c r="B1115" t="inlineStr">
        <is>
          <t>Paul Arthur</t>
        </is>
      </c>
      <c r="C1115">
        <f>HYPERLINK("http://www.linkedin.com/in/plarthur")</f>
        <v/>
      </c>
      <c r="D1115" t="inlineStr">
        <is>
          <t>Not Found</t>
        </is>
      </c>
      <c r="E1115" t="inlineStr">
        <is>
          <t>Director</t>
        </is>
      </c>
      <c r="F1115">
        <f>HYPERLINK("https://app.apollo.io/#/contacts/6578c27348f92e02cc97a589")</f>
        <v/>
      </c>
      <c r="G1115" t="inlineStr">
        <is>
          <t>Colliers</t>
        </is>
      </c>
      <c r="H1115">
        <f>HYPERLINK("https://app.apollo.io/#/accounts/64aaf6c63d556a0001e8eda6")</f>
        <v/>
      </c>
      <c r="I1115">
        <f>HYPERLINK("http://www.colliers.com/")</f>
        <v/>
      </c>
      <c r="J1115">
        <f>HYPERLINK("http://www.linkedin.com/company/colliers")</f>
        <v/>
      </c>
      <c r="K1115">
        <f>HYPERLINK("https://twitter.com/Colliers")</f>
        <v/>
      </c>
      <c r="L1115">
        <f>HYPERLINK("https://facebook.com/colliersinternational/")</f>
        <v/>
      </c>
      <c r="M1115" t="inlineStr">
        <is>
          <t>United Kingdom</t>
        </is>
      </c>
      <c r="N1115" t="inlineStr">
        <is>
          <t>25,000</t>
        </is>
      </c>
      <c r="O1115" t="inlineStr">
        <is>
          <t>Commercial Real Estate</t>
        </is>
      </c>
      <c r="P1115" t="inlineStr">
        <is>
          <t>brokerage &amp; agency,corporate solutions</t>
        </is>
      </c>
      <c r="Q1115" t="inlineStr">
        <is>
          <t>+447545645225</t>
        </is>
      </c>
    </row>
    <row r="1116">
      <c r="A1116" t="inlineStr">
        <is>
          <t>6578c2ec48f92e01ae97bbf0</t>
        </is>
      </c>
      <c r="B1116" t="inlineStr">
        <is>
          <t>Antoine Detrie</t>
        </is>
      </c>
      <c r="C1116">
        <f>HYPERLINK("http://www.linkedin.com/in/antoinedetrie")</f>
        <v/>
      </c>
      <c r="D1116" t="inlineStr">
        <is>
          <t>Not Found</t>
        </is>
      </c>
      <c r="E1116" t="inlineStr">
        <is>
          <t>Director</t>
        </is>
      </c>
      <c r="F1116">
        <f>HYPERLINK("https://app.apollo.io/#/contacts/6578c2ec48f92e01ae97bbf0")</f>
        <v/>
      </c>
      <c r="G1116" t="inlineStr">
        <is>
          <t>French Touch Commercial</t>
        </is>
      </c>
      <c r="H1116">
        <f>HYPERLINK("https://app.apollo.io/#/accounts/6578c2ed48f92e01ae97bbf2")</f>
        <v/>
      </c>
      <c r="I1116">
        <f>HYPERLINK("http://www.frenchtouchcommercial.com/")</f>
        <v/>
      </c>
      <c r="J1116">
        <f>HYPERLINK("http://www.linkedin.com/company/french-touch-commercial")</f>
        <v/>
      </c>
      <c r="K1116">
        <f>HYPERLINK("Not Found")</f>
        <v/>
      </c>
      <c r="L1116">
        <f>HYPERLINK("Not Found")</f>
        <v/>
      </c>
      <c r="M1116" t="inlineStr">
        <is>
          <t>London, United Kingdom</t>
        </is>
      </c>
      <c r="N1116" t="inlineStr">
        <is>
          <t>2</t>
        </is>
      </c>
      <c r="O1116" t="inlineStr">
        <is>
          <t>Commercial Real Estate</t>
        </is>
      </c>
      <c r="Q1116" t="inlineStr">
        <is>
          <t>+447588169372</t>
        </is>
      </c>
    </row>
    <row r="1117">
      <c r="A1117" t="inlineStr">
        <is>
          <t>6578c2e248f92e02cc97a7cb</t>
        </is>
      </c>
      <c r="B1117" t="inlineStr">
        <is>
          <t>Tom Beaumont</t>
        </is>
      </c>
      <c r="C1117">
        <f>HYPERLINK("http://www.linkedin.com/in/tom-beaumont-08567951")</f>
        <v/>
      </c>
      <c r="D1117" t="inlineStr">
        <is>
          <t>Not Found</t>
        </is>
      </c>
      <c r="E1117" t="inlineStr">
        <is>
          <t>Director</t>
        </is>
      </c>
      <c r="F1117">
        <f>HYPERLINK("https://app.apollo.io/#/contacts/6578c2e248f92e02cc97a7cb")</f>
        <v/>
      </c>
      <c r="G1117" t="inlineStr">
        <is>
          <t>Colliers</t>
        </is>
      </c>
      <c r="H1117">
        <f>HYPERLINK("https://app.apollo.io/#/accounts/6578c2e248f92e02cc97a7cd")</f>
        <v/>
      </c>
      <c r="I1117">
        <f>HYPERLINK("http://www.colliers.com/")</f>
        <v/>
      </c>
      <c r="J1117">
        <f>HYPERLINK("http://www.linkedin.com/company/colliers")</f>
        <v/>
      </c>
      <c r="K1117">
        <f>HYPERLINK("https://twitter.com/collierscanada")</f>
        <v/>
      </c>
      <c r="L1117">
        <f>HYPERLINK("Not Found")</f>
        <v/>
      </c>
      <c r="M1117" t="inlineStr">
        <is>
          <t>Manchester, United Kingdom</t>
        </is>
      </c>
      <c r="N1117" t="inlineStr">
        <is>
          <t>25,000</t>
        </is>
      </c>
      <c r="O1117" t="inlineStr">
        <is>
          <t>Commercial Real Estate</t>
        </is>
      </c>
      <c r="P1117" t="inlineStr">
        <is>
          <t>brokerage &amp; agency,corporate solutions</t>
        </is>
      </c>
      <c r="Q1117" t="inlineStr">
        <is>
          <t>(416)-777-2200</t>
        </is>
      </c>
    </row>
    <row r="1118">
      <c r="A1118" t="inlineStr">
        <is>
          <t>6578c23a1823b202d22f1a6b</t>
        </is>
      </c>
      <c r="B1118" t="inlineStr">
        <is>
          <t>Murat Haykir</t>
        </is>
      </c>
      <c r="C1118">
        <f>HYPERLINK("http://www.linkedin.com/in/murat-haykir-8a534045")</f>
        <v/>
      </c>
      <c r="D1118" t="inlineStr">
        <is>
          <t>Not Found</t>
        </is>
      </c>
      <c r="E1118" t="inlineStr">
        <is>
          <t>Director</t>
        </is>
      </c>
      <c r="F1118">
        <f>HYPERLINK("https://app.apollo.io/#/contacts/6578c23a1823b202d22f1a6b")</f>
        <v/>
      </c>
      <c r="G1118" t="inlineStr">
        <is>
          <t>KHP Group</t>
        </is>
      </c>
      <c r="H1118">
        <f>HYPERLINK("https://app.apollo.io/#/accounts/6578c23a1823b202d22f1a6c")</f>
        <v/>
      </c>
      <c r="I1118">
        <f>HYPERLINK("http://www.khpgroup.co.uk/")</f>
        <v/>
      </c>
      <c r="J1118">
        <f>HYPERLINK("http://www.linkedin.com/company/khp-group")</f>
        <v/>
      </c>
      <c r="K1118">
        <f>HYPERLINK("Not Found")</f>
        <v/>
      </c>
      <c r="L1118">
        <f>HYPERLINK("https://www.facebook.com/KHPGroupUK/")</f>
        <v/>
      </c>
      <c r="M1118" t="inlineStr">
        <is>
          <t>London, United Kingdom</t>
        </is>
      </c>
      <c r="N1118" t="inlineStr">
        <is>
          <t>6</t>
        </is>
      </c>
      <c r="O1118" t="inlineStr">
        <is>
          <t>Commercial Real Estate</t>
        </is>
      </c>
      <c r="P1118" t="inlineStr">
        <is>
          <t>refurbishment,development,historic buildings</t>
        </is>
      </c>
      <c r="Q1118" t="inlineStr">
        <is>
          <t>+441752213201</t>
        </is>
      </c>
    </row>
    <row r="1119">
      <c r="A1119" t="inlineStr">
        <is>
          <t>6578c36e48f92e02cc97ab53</t>
        </is>
      </c>
      <c r="B1119" t="inlineStr">
        <is>
          <t>Elliot Cassels</t>
        </is>
      </c>
      <c r="C1119">
        <f>HYPERLINK("http://www.linkedin.com/in/elliot-cassels-a1ab34205")</f>
        <v/>
      </c>
      <c r="D1119" t="inlineStr">
        <is>
          <t>Not Found</t>
        </is>
      </c>
      <c r="E1119" t="inlineStr">
        <is>
          <t>Director</t>
        </is>
      </c>
      <c r="F1119">
        <f>HYPERLINK("https://app.apollo.io/#/contacts/6578c36e48f92e02cc97ab53")</f>
        <v/>
      </c>
      <c r="G1119" t="inlineStr">
        <is>
          <t>Colliers</t>
        </is>
      </c>
      <c r="H1119">
        <f>HYPERLINK("https://app.apollo.io/#/accounts/64aaf6c63d556a0001e8eda6")</f>
        <v/>
      </c>
      <c r="I1119">
        <f>HYPERLINK("http://www.colliers.com/")</f>
        <v/>
      </c>
      <c r="J1119">
        <f>HYPERLINK("http://www.linkedin.com/company/colliers")</f>
        <v/>
      </c>
      <c r="K1119">
        <f>HYPERLINK("https://twitter.com/Colliers")</f>
        <v/>
      </c>
      <c r="L1119">
        <f>HYPERLINK("https://facebook.com/colliersinternational/")</f>
        <v/>
      </c>
      <c r="M1119" t="inlineStr">
        <is>
          <t>Edinburgh, United Kingdom</t>
        </is>
      </c>
      <c r="N1119" t="inlineStr">
        <is>
          <t>25,000</t>
        </is>
      </c>
      <c r="O1119" t="inlineStr">
        <is>
          <t>Commercial Real Estate</t>
        </is>
      </c>
      <c r="P1119" t="inlineStr">
        <is>
          <t>brokerage &amp; agency,corporate solutions</t>
        </is>
      </c>
      <c r="Q1119" t="inlineStr">
        <is>
          <t>(702)-727-3783</t>
        </is>
      </c>
    </row>
    <row r="1120">
      <c r="A1120" t="inlineStr">
        <is>
          <t>6578c35348f92e02cc97a962</t>
        </is>
      </c>
      <c r="B1120" t="inlineStr">
        <is>
          <t>Adam Velleman</t>
        </is>
      </c>
      <c r="C1120">
        <f>HYPERLINK("http://www.linkedin.com/in/adam-velleman-08ba1712")</f>
        <v/>
      </c>
      <c r="D1120" t="inlineStr">
        <is>
          <t>Not Found</t>
        </is>
      </c>
      <c r="E1120" t="inlineStr">
        <is>
          <t>Director</t>
        </is>
      </c>
      <c r="F1120">
        <f>HYPERLINK("https://app.apollo.io/#/contacts/6578c35348f92e02cc97a962")</f>
        <v/>
      </c>
      <c r="G1120" t="inlineStr">
        <is>
          <t>Burlington Green Partners</t>
        </is>
      </c>
      <c r="H1120">
        <f>HYPERLINK("https://app.apollo.io/#/accounts/6578c35348f92e02cc97a964")</f>
        <v/>
      </c>
      <c r="I1120">
        <f>HYPERLINK("http://www.burlingtongreen.co.uk/")</f>
        <v/>
      </c>
      <c r="J1120">
        <f>HYPERLINK("http://www.linkedin.com/company/burlington-green-partners")</f>
        <v/>
      </c>
      <c r="K1120">
        <f>HYPERLINK("Not Found")</f>
        <v/>
      </c>
      <c r="L1120">
        <f>HYPERLINK("Not Found")</f>
        <v/>
      </c>
      <c r="M1120" t="inlineStr">
        <is>
          <t>London, United Kingdom</t>
        </is>
      </c>
      <c r="N1120" t="inlineStr">
        <is>
          <t>3</t>
        </is>
      </c>
      <c r="O1120" t="inlineStr">
        <is>
          <t>Commercial Real Estate</t>
        </is>
      </c>
      <c r="Q1120" t="inlineStr">
        <is>
          <t>+447879477710</t>
        </is>
      </c>
    </row>
    <row r="1121">
      <c r="A1121" t="inlineStr">
        <is>
          <t>6578c3c848f92e03e997a006</t>
        </is>
      </c>
      <c r="B1121" t="inlineStr">
        <is>
          <t>Alys Thomas</t>
        </is>
      </c>
      <c r="C1121">
        <f>HYPERLINK("http://www.linkedin.com/in/alys-thomas-a7a70555")</f>
        <v/>
      </c>
      <c r="D1121" t="inlineStr">
        <is>
          <t>Not Found</t>
        </is>
      </c>
      <c r="E1121" t="inlineStr">
        <is>
          <t>Director</t>
        </is>
      </c>
      <c r="F1121">
        <f>HYPERLINK("https://app.apollo.io/#/contacts/6578c3c848f92e03e997a006")</f>
        <v/>
      </c>
      <c r="G1121" t="inlineStr">
        <is>
          <t>Colliers</t>
        </is>
      </c>
      <c r="H1121">
        <f>HYPERLINK("https://app.apollo.io/#/accounts/64aaf6c63d556a0001e8eda6")</f>
        <v/>
      </c>
      <c r="I1121">
        <f>HYPERLINK("http://www.colliers.com/")</f>
        <v/>
      </c>
      <c r="J1121">
        <f>HYPERLINK("http://www.linkedin.com/company/colliers")</f>
        <v/>
      </c>
      <c r="K1121">
        <f>HYPERLINK("https://twitter.com/Colliers")</f>
        <v/>
      </c>
      <c r="L1121">
        <f>HYPERLINK("https://facebook.com/colliersinternational/")</f>
        <v/>
      </c>
      <c r="M1121" t="inlineStr">
        <is>
          <t>London, United Kingdom</t>
        </is>
      </c>
      <c r="N1121" t="inlineStr">
        <is>
          <t>25,000</t>
        </is>
      </c>
      <c r="O1121" t="inlineStr">
        <is>
          <t>Commercial Real Estate</t>
        </is>
      </c>
      <c r="P1121" t="inlineStr">
        <is>
          <t>brokerage &amp; agency,corporate solutions</t>
        </is>
      </c>
      <c r="Q1121" t="inlineStr">
        <is>
          <t>(702)-727-3783</t>
        </is>
      </c>
    </row>
    <row r="1122">
      <c r="A1122" t="inlineStr">
        <is>
          <t>6578c32f48f92e01ae97bdad</t>
        </is>
      </c>
      <c r="B1122" t="inlineStr">
        <is>
          <t>Rob Worton</t>
        </is>
      </c>
      <c r="C1122">
        <f>HYPERLINK("http://www.linkedin.com/in/rob-worton-a18544ab")</f>
        <v/>
      </c>
      <c r="D1122" t="inlineStr">
        <is>
          <t>Not Found</t>
        </is>
      </c>
      <c r="E1122" t="inlineStr">
        <is>
          <t>Director</t>
        </is>
      </c>
      <c r="F1122">
        <f>HYPERLINK("https://app.apollo.io/#/contacts/6578c32f48f92e01ae97bdad")</f>
        <v/>
      </c>
      <c r="G1122" t="inlineStr">
        <is>
          <t>Colliers</t>
        </is>
      </c>
      <c r="H1122">
        <f>HYPERLINK("https://app.apollo.io/#/accounts/64aaf6c63d556a0001e8eda6")</f>
        <v/>
      </c>
      <c r="I1122">
        <f>HYPERLINK("http://www.colliers.com/")</f>
        <v/>
      </c>
      <c r="J1122">
        <f>HYPERLINK("http://www.linkedin.com/company/colliers")</f>
        <v/>
      </c>
      <c r="K1122">
        <f>HYPERLINK("https://twitter.com/Colliers")</f>
        <v/>
      </c>
      <c r="L1122">
        <f>HYPERLINK("https://facebook.com/colliersinternational/")</f>
        <v/>
      </c>
      <c r="M1122" t="inlineStr">
        <is>
          <t>Kingston upon Thames, United Kingdom</t>
        </is>
      </c>
      <c r="N1122" t="inlineStr">
        <is>
          <t>25,000</t>
        </is>
      </c>
      <c r="O1122" t="inlineStr">
        <is>
          <t>Commercial Real Estate</t>
        </is>
      </c>
      <c r="P1122" t="inlineStr">
        <is>
          <t>brokerage &amp; agency,corporate solutions</t>
        </is>
      </c>
      <c r="Q1122" t="inlineStr">
        <is>
          <t>(702)-727-3783</t>
        </is>
      </c>
    </row>
    <row r="1123">
      <c r="A1123" t="inlineStr">
        <is>
          <t>6578c389e0bc5401aef9438f</t>
        </is>
      </c>
      <c r="B1123" t="inlineStr">
        <is>
          <t>Farwa Malik</t>
        </is>
      </c>
      <c r="C1123">
        <f>HYPERLINK("http://www.linkedin.com/in/farwa-malik-b77b31141")</f>
        <v/>
      </c>
      <c r="D1123" t="inlineStr">
        <is>
          <t>Not Found</t>
        </is>
      </c>
      <c r="E1123" t="inlineStr">
        <is>
          <t>Director</t>
        </is>
      </c>
      <c r="F1123">
        <f>HYPERLINK("https://app.apollo.io/#/contacts/6578c389e0bc5401aef9438f")</f>
        <v/>
      </c>
      <c r="G1123" t="inlineStr">
        <is>
          <t>MCB Real Estate</t>
        </is>
      </c>
      <c r="H1123">
        <f>HYPERLINK("https://app.apollo.io/#/accounts/6578c389e0bc5401aef94391")</f>
        <v/>
      </c>
      <c r="I1123">
        <f>HYPERLINK("http://www.mcbrealestate.com/")</f>
        <v/>
      </c>
      <c r="J1123">
        <f>HYPERLINK("http://www.linkedin.com/company/mcb-real-estate")</f>
        <v/>
      </c>
      <c r="K1123">
        <f>HYPERLINK("https://twitter.com/mcbrebaltimore")</f>
        <v/>
      </c>
      <c r="L1123">
        <f>HYPERLINK("Not Found")</f>
        <v/>
      </c>
      <c r="M1123" t="inlineStr">
        <is>
          <t>London, United Kingdom</t>
        </is>
      </c>
      <c r="N1123" t="inlineStr">
        <is>
          <t>82</t>
        </is>
      </c>
      <c r="O1123" t="inlineStr">
        <is>
          <t>Commercial Real Estate</t>
        </is>
      </c>
      <c r="P1123" t="inlineStr">
        <is>
          <t>commercial real estate,retail real estate</t>
        </is>
      </c>
      <c r="Q1123" t="inlineStr">
        <is>
          <t>(410)-662-0104</t>
        </is>
      </c>
    </row>
    <row r="1124">
      <c r="A1124" t="inlineStr">
        <is>
          <t>6578c3e448f92e01ae97c211</t>
        </is>
      </c>
      <c r="B1124" t="inlineStr">
        <is>
          <t>Paul Wells</t>
        </is>
      </c>
      <c r="C1124">
        <f>HYPERLINK("http://www.linkedin.com/in/paul-wells-b639a012")</f>
        <v/>
      </c>
      <c r="D1124" t="inlineStr">
        <is>
          <t>Not Found</t>
        </is>
      </c>
      <c r="E1124" t="inlineStr">
        <is>
          <t>Director</t>
        </is>
      </c>
      <c r="F1124">
        <f>HYPERLINK("https://app.apollo.io/#/contacts/6578c3e448f92e01ae97c211")</f>
        <v/>
      </c>
      <c r="G1124" t="inlineStr">
        <is>
          <t>Harris Lamb</t>
        </is>
      </c>
      <c r="H1124">
        <f>HYPERLINK("https://app.apollo.io/#/accounts/6578c3e448f92e01ae97c213")</f>
        <v/>
      </c>
      <c r="I1124">
        <f>HYPERLINK("http://www.harrislamb.com/")</f>
        <v/>
      </c>
      <c r="J1124">
        <f>HYPERLINK("http://www.linkedin.com/company/harris-lamb")</f>
        <v/>
      </c>
      <c r="K1124">
        <f>HYPERLINK("https://twitter.com/harris_lamb")</f>
        <v/>
      </c>
      <c r="L1124">
        <f>HYPERLINK("https://www.facebook.com/HarrisLamb")</f>
        <v/>
      </c>
      <c r="M1124" t="inlineStr">
        <is>
          <t>England, United Kingdom</t>
        </is>
      </c>
      <c r="N1124" t="inlineStr">
        <is>
          <t>69</t>
        </is>
      </c>
      <c r="O1124" t="inlineStr">
        <is>
          <t>Commercial Real Estate</t>
        </is>
      </c>
      <c r="P1124" t="inlineStr">
        <is>
          <t>commercial real estate,property consultancy</t>
        </is>
      </c>
      <c r="Q1124" t="inlineStr">
        <is>
          <t>+441214559455</t>
        </is>
      </c>
    </row>
    <row r="1125">
      <c r="A1125" t="inlineStr">
        <is>
          <t>6578c3c048f92e02cc97ac0d</t>
        </is>
      </c>
      <c r="B1125" t="inlineStr">
        <is>
          <t>Mark Sherrell</t>
        </is>
      </c>
      <c r="C1125">
        <f>HYPERLINK("http://www.linkedin.com/in/wattstechnicalduediligence")</f>
        <v/>
      </c>
      <c r="D1125" t="inlineStr">
        <is>
          <t>Not Found</t>
        </is>
      </c>
      <c r="E1125" t="inlineStr">
        <is>
          <t>Director</t>
        </is>
      </c>
      <c r="F1125">
        <f>HYPERLINK("https://app.apollo.io/#/contacts/6578c3c048f92e02cc97ac0d")</f>
        <v/>
      </c>
      <c r="G1125" t="inlineStr">
        <is>
          <t>Colliers</t>
        </is>
      </c>
      <c r="H1125">
        <f>HYPERLINK("https://app.apollo.io/#/accounts/64aaf6c63d556a0001e8eda6")</f>
        <v/>
      </c>
      <c r="I1125">
        <f>HYPERLINK("http://www.colliers.com/")</f>
        <v/>
      </c>
      <c r="J1125">
        <f>HYPERLINK("http://www.linkedin.com/company/colliers")</f>
        <v/>
      </c>
      <c r="K1125">
        <f>HYPERLINK("https://twitter.com/Colliers")</f>
        <v/>
      </c>
      <c r="L1125">
        <f>HYPERLINK("https://facebook.com/colliersinternational/")</f>
        <v/>
      </c>
      <c r="M1125" t="inlineStr">
        <is>
          <t>London, United Kingdom</t>
        </is>
      </c>
      <c r="N1125" t="inlineStr">
        <is>
          <t>25,000</t>
        </is>
      </c>
      <c r="O1125" t="inlineStr">
        <is>
          <t>Commercial Real Estate</t>
        </is>
      </c>
      <c r="P1125" t="inlineStr">
        <is>
          <t>brokerage &amp; agency,corporate solutions</t>
        </is>
      </c>
      <c r="Q1125" t="inlineStr">
        <is>
          <t>(702)-727-3783</t>
        </is>
      </c>
    </row>
    <row r="1126">
      <c r="A1126" t="inlineStr">
        <is>
          <t>6578c2bb48f92e01ae97ba8d</t>
        </is>
      </c>
      <c r="B1126" t="inlineStr">
        <is>
          <t>Ryan Davidson</t>
        </is>
      </c>
      <c r="C1126">
        <f>HYPERLINK("http://www.linkedin.com/in/ryan-davidson-01483825")</f>
        <v/>
      </c>
      <c r="D1126" t="inlineStr">
        <is>
          <t>Not Found</t>
        </is>
      </c>
      <c r="E1126" t="inlineStr">
        <is>
          <t>Director</t>
        </is>
      </c>
      <c r="F1126">
        <f>HYPERLINK("https://app.apollo.io/#/contacts/6578c2bb48f92e01ae97ba8d")</f>
        <v/>
      </c>
      <c r="G1126" t="inlineStr">
        <is>
          <t>Innes Building Consultancy</t>
        </is>
      </c>
      <c r="H1126">
        <f>HYPERLINK("https://app.apollo.io/#/accounts/6578c2bb48f92e01ae97ba8f")</f>
        <v/>
      </c>
      <c r="I1126">
        <f>HYPERLINK("http://www.innesbc.com/")</f>
        <v/>
      </c>
      <c r="J1126">
        <f>HYPERLINK("http://www.linkedin.com/company/innes-associates-building-consultancy")</f>
        <v/>
      </c>
      <c r="K1126">
        <f>HYPERLINK("Not Found")</f>
        <v/>
      </c>
      <c r="L1126">
        <f>HYPERLINK("Not Found")</f>
        <v/>
      </c>
      <c r="M1126" t="inlineStr">
        <is>
          <t>Edinburgh, United Kingdom</t>
        </is>
      </c>
      <c r="N1126" t="inlineStr">
        <is>
          <t>8</t>
        </is>
      </c>
      <c r="O1126" t="inlineStr">
        <is>
          <t>Commercial Real Estate</t>
        </is>
      </c>
      <c r="P1126" t="inlineStr">
        <is>
          <t>project &amp; relocation management,building surveys</t>
        </is>
      </c>
      <c r="Q1126" t="inlineStr">
        <is>
          <t>+447834767350</t>
        </is>
      </c>
    </row>
    <row r="1127">
      <c r="A1127" t="inlineStr">
        <is>
          <t>6578c30148f92e01ae97bc59</t>
        </is>
      </c>
      <c r="B1127" t="inlineStr">
        <is>
          <t>Harry Flood</t>
        </is>
      </c>
      <c r="C1127">
        <f>HYPERLINK("http://www.linkedin.com/in/harry-flood-52431560")</f>
        <v/>
      </c>
      <c r="D1127" t="inlineStr">
        <is>
          <t>Not Found</t>
        </is>
      </c>
      <c r="E1127" t="inlineStr">
        <is>
          <t>Director</t>
        </is>
      </c>
      <c r="F1127">
        <f>HYPERLINK("https://app.apollo.io/#/contacts/6578c30148f92e01ae97bc59")</f>
        <v/>
      </c>
      <c r="G1127" t="inlineStr">
        <is>
          <t>Colliers</t>
        </is>
      </c>
      <c r="H1127">
        <f>HYPERLINK("https://app.apollo.io/#/accounts/64aaf6c63d556a0001e8eda6")</f>
        <v/>
      </c>
      <c r="I1127">
        <f>HYPERLINK("http://www.colliers.com/")</f>
        <v/>
      </c>
      <c r="J1127">
        <f>HYPERLINK("http://www.linkedin.com/company/colliers")</f>
        <v/>
      </c>
      <c r="K1127">
        <f>HYPERLINK("https://twitter.com/Colliers")</f>
        <v/>
      </c>
      <c r="L1127">
        <f>HYPERLINK("https://facebook.com/colliersinternational/")</f>
        <v/>
      </c>
      <c r="M1127" t="inlineStr">
        <is>
          <t>London, United Kingdom</t>
        </is>
      </c>
      <c r="N1127" t="inlineStr">
        <is>
          <t>25,000</t>
        </is>
      </c>
      <c r="O1127" t="inlineStr">
        <is>
          <t>Commercial Real Estate</t>
        </is>
      </c>
      <c r="P1127" t="inlineStr">
        <is>
          <t>brokerage &amp; agency,corporate solutions</t>
        </is>
      </c>
      <c r="Q1127" t="inlineStr">
        <is>
          <t>+442073446590</t>
        </is>
      </c>
    </row>
    <row r="1128">
      <c r="A1128" t="inlineStr">
        <is>
          <t>6578c2f848f92e01ae97bc3a</t>
        </is>
      </c>
      <c r="B1128" t="inlineStr">
        <is>
          <t>Steve Thomson</t>
        </is>
      </c>
      <c r="C1128">
        <f>HYPERLINK("http://www.linkedin.com/in/steve-thomson-4582ba16")</f>
        <v/>
      </c>
      <c r="D1128" t="inlineStr">
        <is>
          <t>Not Found</t>
        </is>
      </c>
      <c r="E1128" t="inlineStr">
        <is>
          <t>Director</t>
        </is>
      </c>
      <c r="F1128">
        <f>HYPERLINK("https://app.apollo.io/#/contacts/6578c2f848f92e01ae97bc3a")</f>
        <v/>
      </c>
      <c r="G1128" t="inlineStr">
        <is>
          <t>Innes Building Consultancy</t>
        </is>
      </c>
      <c r="H1128">
        <f>HYPERLINK("https://app.apollo.io/#/accounts/6578c2bb48f92e01ae97ba8f")</f>
        <v/>
      </c>
      <c r="I1128">
        <f>HYPERLINK("http://www.innesbc.com/")</f>
        <v/>
      </c>
      <c r="J1128">
        <f>HYPERLINK("http://www.linkedin.com/company/innes-associates-building-consultancy")</f>
        <v/>
      </c>
      <c r="K1128">
        <f>HYPERLINK("Not Found")</f>
        <v/>
      </c>
      <c r="L1128">
        <f>HYPERLINK("Not Found")</f>
        <v/>
      </c>
      <c r="M1128" t="inlineStr">
        <is>
          <t>Perth, United Kingdom</t>
        </is>
      </c>
      <c r="N1128" t="inlineStr">
        <is>
          <t>8</t>
        </is>
      </c>
      <c r="O1128" t="inlineStr">
        <is>
          <t>Commercial Real Estate</t>
        </is>
      </c>
      <c r="P1128" t="inlineStr">
        <is>
          <t>project &amp; relocation management,building surveys</t>
        </is>
      </c>
      <c r="Q1128" t="inlineStr">
        <is>
          <t>+447834767350</t>
        </is>
      </c>
    </row>
    <row r="1129">
      <c r="A1129" t="inlineStr">
        <is>
          <t>6578c28a48f92e01ae97b95a</t>
        </is>
      </c>
      <c r="B1129" t="inlineStr">
        <is>
          <t>Emily Bradshaw</t>
        </is>
      </c>
      <c r="C1129">
        <f>HYPERLINK("http://www.linkedin.com/in/emily-bradshaw-8baa2731")</f>
        <v/>
      </c>
      <c r="D1129" t="inlineStr">
        <is>
          <t>Not Found</t>
        </is>
      </c>
      <c r="E1129" t="inlineStr">
        <is>
          <t>Director</t>
        </is>
      </c>
      <c r="F1129">
        <f>HYPERLINK("https://app.apollo.io/#/contacts/6578c28a48f92e01ae97b95a")</f>
        <v/>
      </c>
      <c r="G1129" t="inlineStr">
        <is>
          <t>Colliers</t>
        </is>
      </c>
      <c r="H1129">
        <f>HYPERLINK("https://app.apollo.io/#/accounts/64aaf6c63d556a0001e8eda6")</f>
        <v/>
      </c>
      <c r="I1129">
        <f>HYPERLINK("http://www.colliers.com/")</f>
        <v/>
      </c>
      <c r="J1129">
        <f>HYPERLINK("http://www.linkedin.com/company/colliers")</f>
        <v/>
      </c>
      <c r="K1129">
        <f>HYPERLINK("https://twitter.com/Colliers")</f>
        <v/>
      </c>
      <c r="L1129">
        <f>HYPERLINK("https://facebook.com/colliersinternational/")</f>
        <v/>
      </c>
      <c r="M1129" t="inlineStr">
        <is>
          <t>Hemel Hempstead, United Kingdom</t>
        </is>
      </c>
      <c r="N1129" t="inlineStr">
        <is>
          <t>25,000</t>
        </is>
      </c>
      <c r="O1129" t="inlineStr">
        <is>
          <t>Commercial Real Estate</t>
        </is>
      </c>
      <c r="P1129" t="inlineStr">
        <is>
          <t>brokerage &amp; agency,corporate solutions</t>
        </is>
      </c>
      <c r="Q1129" t="inlineStr">
        <is>
          <t>+447730091417</t>
        </is>
      </c>
    </row>
    <row r="1130">
      <c r="A1130" t="inlineStr">
        <is>
          <t>6578c2501823b201ae2f304b</t>
        </is>
      </c>
      <c r="B1130" t="inlineStr">
        <is>
          <t>Lennon Compton</t>
        </is>
      </c>
      <c r="C1130">
        <f>HYPERLINK("http://www.linkedin.com/in/lennon-compton-68666b1a9")</f>
        <v/>
      </c>
      <c r="D1130" t="inlineStr">
        <is>
          <t>Not Found</t>
        </is>
      </c>
      <c r="E1130" t="inlineStr">
        <is>
          <t>Director</t>
        </is>
      </c>
      <c r="F1130">
        <f>HYPERLINK("https://app.apollo.io/#/contacts/6578c2501823b201ae2f304b")</f>
        <v/>
      </c>
      <c r="G1130" t="inlineStr">
        <is>
          <t>Tanker Rent UK Ltd</t>
        </is>
      </c>
      <c r="H1130">
        <f>HYPERLINK("https://app.apollo.io/#/accounts/6578c2501823b201ae2f304d")</f>
        <v/>
      </c>
      <c r="I1130">
        <f>HYPERLINK("http://www.tankers-r-us.com/")</f>
        <v/>
      </c>
      <c r="J1130">
        <f>HYPERLINK("http://www.linkedin.com/company/tanker-rent-uk-ltd")</f>
        <v/>
      </c>
      <c r="K1130">
        <f>HYPERLINK("Not Found")</f>
        <v/>
      </c>
      <c r="L1130">
        <f>HYPERLINK("Not Found")</f>
        <v/>
      </c>
      <c r="M1130" t="inlineStr">
        <is>
          <t>Leighton Buzzard, United Kingdom</t>
        </is>
      </c>
      <c r="N1130" t="inlineStr">
        <is>
          <t>1</t>
        </is>
      </c>
      <c r="O1130" t="inlineStr">
        <is>
          <t>Commercial Real Estate</t>
        </is>
      </c>
      <c r="P1130" t="inlineStr">
        <is>
          <t>reliable,friendly familyrun business</t>
        </is>
      </c>
      <c r="Q1130" t="inlineStr">
        <is>
          <t>+441525371707</t>
        </is>
      </c>
    </row>
    <row r="1131">
      <c r="A1131" t="inlineStr">
        <is>
          <t>6578c29b48f92e01ae97b9b0</t>
        </is>
      </c>
      <c r="B1131" t="inlineStr">
        <is>
          <t>David Tobin</t>
        </is>
      </c>
      <c r="C1131">
        <f>HYPERLINK("http://www.linkedin.com/in/david-tobin-1983aa15")</f>
        <v/>
      </c>
      <c r="D1131" t="inlineStr">
        <is>
          <t>Not Found</t>
        </is>
      </c>
      <c r="E1131" t="inlineStr">
        <is>
          <t>Director</t>
        </is>
      </c>
      <c r="F1131">
        <f>HYPERLINK("https://app.apollo.io/#/contacts/6578c29b48f92e01ae97b9b0")</f>
        <v/>
      </c>
      <c r="G1131" t="inlineStr">
        <is>
          <t>Daval Construction Ltd.</t>
        </is>
      </c>
      <c r="H1131">
        <f>HYPERLINK("https://app.apollo.io/#/accounts/6578c29b48f92e01ae97b9b2")</f>
        <v/>
      </c>
      <c r="I1131">
        <f>HYPERLINK("http://www.daval-construct.com/")</f>
        <v/>
      </c>
      <c r="J1131">
        <f>HYPERLINK("http://www.linkedin.com/company/davalconstruction")</f>
        <v/>
      </c>
      <c r="K1131">
        <f>HYPERLINK("Not Found")</f>
        <v/>
      </c>
      <c r="L1131">
        <f>HYPERLINK("Not Found")</f>
        <v/>
      </c>
      <c r="M1131" t="inlineStr">
        <is>
          <t>London, United Kingdom</t>
        </is>
      </c>
      <c r="N1131" t="inlineStr">
        <is>
          <t>17</t>
        </is>
      </c>
      <c r="O1131" t="inlineStr">
        <is>
          <t>Commercial Real Estate</t>
        </is>
      </c>
      <c r="Q1131" t="inlineStr">
        <is>
          <t>+442083811307</t>
        </is>
      </c>
    </row>
    <row r="1132">
      <c r="A1132" t="inlineStr">
        <is>
          <t>6578c2aa48f92e01ae97ba1c</t>
        </is>
      </c>
      <c r="B1132" t="inlineStr">
        <is>
          <t>Matt Grainger</t>
        </is>
      </c>
      <c r="C1132">
        <f>HYPERLINK("http://www.linkedin.com/in/matt-grainger-50665538")</f>
        <v/>
      </c>
      <c r="D1132" t="inlineStr">
        <is>
          <t>Not Found</t>
        </is>
      </c>
      <c r="E1132" t="inlineStr">
        <is>
          <t>Director</t>
        </is>
      </c>
      <c r="F1132">
        <f>HYPERLINK("https://app.apollo.io/#/contacts/6578c2aa48f92e01ae97ba1c")</f>
        <v/>
      </c>
      <c r="G1132" t="inlineStr">
        <is>
          <t>Colmore Capital</t>
        </is>
      </c>
      <c r="H1132">
        <f>HYPERLINK("https://app.apollo.io/#/accounts/6578c2aa48f92e01ae97ba1e")</f>
        <v/>
      </c>
      <c r="I1132">
        <f>HYPERLINK("http://www.colmorecapital.co.uk/")</f>
        <v/>
      </c>
      <c r="J1132">
        <f>HYPERLINK("http://www.linkedin.com/company/colmore-capital-limited")</f>
        <v/>
      </c>
      <c r="K1132">
        <f>HYPERLINK("Not Found")</f>
        <v/>
      </c>
      <c r="L1132">
        <f>HYPERLINK("Not Found")</f>
        <v/>
      </c>
      <c r="M1132" t="inlineStr">
        <is>
          <t>Birmingham, United Kingdom</t>
        </is>
      </c>
      <c r="N1132" t="inlineStr">
        <is>
          <t>5</t>
        </is>
      </c>
      <c r="O1132" t="inlineStr">
        <is>
          <t>Commercial Real Estate</t>
        </is>
      </c>
      <c r="Q1132" t="inlineStr">
        <is>
          <t>+441212366995</t>
        </is>
      </c>
    </row>
    <row r="1133">
      <c r="A1133" t="inlineStr">
        <is>
          <t>6578c2c448f92e066a9795a0</t>
        </is>
      </c>
      <c r="B1133" t="inlineStr">
        <is>
          <t>Steve Phillips</t>
        </is>
      </c>
      <c r="C1133">
        <f>HYPERLINK("http://www.linkedin.com/in/steve-phillips-b922783b")</f>
        <v/>
      </c>
      <c r="D1133" t="inlineStr">
        <is>
          <t>Not Found</t>
        </is>
      </c>
      <c r="E1133" t="inlineStr">
        <is>
          <t>Director</t>
        </is>
      </c>
      <c r="F1133">
        <f>HYPERLINK("https://app.apollo.io/#/contacts/6578c2c448f92e066a9795a0")</f>
        <v/>
      </c>
      <c r="G1133" t="inlineStr">
        <is>
          <t>Compact Fork Trucks</t>
        </is>
      </c>
      <c r="H1133">
        <f>HYPERLINK("https://app.apollo.io/#/accounts/6578c2c448f92e066a9795a2")</f>
        <v/>
      </c>
      <c r="I1133">
        <f>HYPERLINK("http://www.compactforktrucks.co.uk/")</f>
        <v/>
      </c>
      <c r="J1133">
        <f>HYPERLINK("http://www.linkedin.com/company/compact-fork-trucks-limited")</f>
        <v/>
      </c>
      <c r="K1133">
        <f>HYPERLINK("https://twitter.com/compactflt")</f>
        <v/>
      </c>
      <c r="L1133">
        <f>HYPERLINK("https://www.facebook.com/pg/compactforktrucks/")</f>
        <v/>
      </c>
      <c r="M1133" t="inlineStr">
        <is>
          <t>Dudley, United Kingdom</t>
        </is>
      </c>
      <c r="N1133" t="inlineStr">
        <is>
          <t>15</t>
        </is>
      </c>
      <c r="O1133" t="inlineStr">
        <is>
          <t>Commercial Real Estate</t>
        </is>
      </c>
      <c r="P1133" t="inlineStr">
        <is>
          <t>spare parts,service,warehouse equipment</t>
        </is>
      </c>
      <c r="Q1133" t="inlineStr">
        <is>
          <t>+441384238000</t>
        </is>
      </c>
    </row>
    <row r="1134">
      <c r="A1134" t="inlineStr">
        <is>
          <t>54a4a16f74686938ac50f356</t>
        </is>
      </c>
      <c r="B1134" t="inlineStr">
        <is>
          <t>Will Mashiter</t>
        </is>
      </c>
      <c r="C1134">
        <f>HYPERLINK("http://www.linkedin.com/in/will-mashiter-59239444")</f>
        <v/>
      </c>
      <c r="D1134" t="inlineStr">
        <is>
          <t>Not Found</t>
        </is>
      </c>
      <c r="E1134" t="inlineStr">
        <is>
          <t>Associate Director. EMEA Occupier Services, Transaction and Account Management</t>
        </is>
      </c>
      <c r="F1134">
        <f>HYPERLINK("https://app.apollo.io/#/people/54a4a16f74686938ac50f356")</f>
        <v/>
      </c>
      <c r="G1134" t="inlineStr">
        <is>
          <t>Colliers</t>
        </is>
      </c>
      <c r="H1134">
        <f>HYPERLINK("https://app.apollo.io/#/accounts/64aaf6c63d556a0001e8eda6")</f>
        <v/>
      </c>
      <c r="I1134">
        <f>HYPERLINK("http://www.colliers.com/")</f>
        <v/>
      </c>
      <c r="J1134">
        <f>HYPERLINK("http://www.linkedin.com/company/colliers")</f>
        <v/>
      </c>
      <c r="K1134">
        <f>HYPERLINK("https://twitter.com/Colliers")</f>
        <v/>
      </c>
      <c r="L1134">
        <f>HYPERLINK("https://facebook.com/colliersinternational/")</f>
        <v/>
      </c>
      <c r="M1134" t="inlineStr">
        <is>
          <t>United Kingdom</t>
        </is>
      </c>
      <c r="N1134" t="inlineStr">
        <is>
          <t>25,000</t>
        </is>
      </c>
      <c r="O1134" t="inlineStr">
        <is>
          <t>Commercial Real Estate</t>
        </is>
      </c>
      <c r="P1134" t="inlineStr">
        <is>
          <t>brokerage &amp; agency,corporate solutions</t>
        </is>
      </c>
      <c r="Q1134" t="inlineStr">
        <is>
          <t>Not Found</t>
        </is>
      </c>
    </row>
    <row r="1135">
      <c r="A1135" t="inlineStr">
        <is>
          <t>54ebb9b47468694311f8e616</t>
        </is>
      </c>
      <c r="B1135" t="inlineStr">
        <is>
          <t>Rebecca Ruddle</t>
        </is>
      </c>
      <c r="C1135">
        <f>HYPERLINK("http://www.linkedin.com/in/rebecca-ruddle-43673463")</f>
        <v/>
      </c>
      <c r="D1135" t="inlineStr">
        <is>
          <t>Not Found</t>
        </is>
      </c>
      <c r="E1135" t="inlineStr">
        <is>
          <t>Centre Director Dual Site and founding Shadow Board Member</t>
        </is>
      </c>
      <c r="F1135">
        <f>HYPERLINK("https://app.apollo.io/#/people/54ebb9b47468694311f8e616")</f>
        <v/>
      </c>
      <c r="G1135" t="inlineStr">
        <is>
          <t>Landsec</t>
        </is>
      </c>
      <c r="H1135">
        <f>HYPERLINK("https://app.apollo.io/#/accounts/6578b86a75dc3a02ccc995c8")</f>
        <v/>
      </c>
      <c r="I1135">
        <f>HYPERLINK("http://www.landsec.com/")</f>
        <v/>
      </c>
      <c r="J1135">
        <f>HYPERLINK("http://www.linkedin.com/company/landsec")</f>
        <v/>
      </c>
      <c r="K1135">
        <f>HYPERLINK("https://twitter.com/landsecgroup?lang=en")</f>
        <v/>
      </c>
      <c r="L1135">
        <f>HYPERLINK("https://facebook.com/pages/category/Real-Estate-Company/Landsec-Group-335042077050643/")</f>
        <v/>
      </c>
      <c r="M1135" t="inlineStr">
        <is>
          <t>London, United Kingdom</t>
        </is>
      </c>
      <c r="N1135" t="inlineStr">
        <is>
          <t>860</t>
        </is>
      </c>
      <c r="O1135" t="inlineStr">
        <is>
          <t>Commercial Real Estate</t>
        </is>
      </c>
      <c r="P1135" t="inlineStr">
        <is>
          <t>property investment,management &amp; development</t>
        </is>
      </c>
      <c r="Q1135" t="inlineStr">
        <is>
          <t>Not Found</t>
        </is>
      </c>
    </row>
    <row r="1136">
      <c r="A1136" t="inlineStr">
        <is>
          <t>6313353d5931fd0001b43cc6</t>
        </is>
      </c>
      <c r="B1136" t="inlineStr">
        <is>
          <t>Laurine Baledent-Toulmonde</t>
        </is>
      </c>
      <c r="C1136">
        <f>HYPERLINK("http://www.linkedin.com/in/laurine-bal%c3%a9dent-toulmonde-674551106")</f>
        <v/>
      </c>
      <c r="D1136" t="inlineStr">
        <is>
          <t>Not Found</t>
        </is>
      </c>
      <c r="E1136" t="inlineStr">
        <is>
          <t>Data Privacy Associate Legal Director &amp; France Advisory Lead</t>
        </is>
      </c>
      <c r="F1136">
        <f>HYPERLINK("https://app.apollo.io/#/people/6313353d5931fd0001b43cc6")</f>
        <v/>
      </c>
      <c r="G1136" t="inlineStr">
        <is>
          <t>CBRE Global Workplace Solutions (GWS)</t>
        </is>
      </c>
      <c r="H1136">
        <f>HYPERLINK("https://app.apollo.io/#/accounts/6509fed6f449800001b69a15")</f>
        <v/>
      </c>
      <c r="I1136">
        <f>HYPERLINK("http://www.coor.com/")</f>
        <v/>
      </c>
      <c r="J1136">
        <f>HYPERLINK("http://www.linkedin.com/company/cbre-gws")</f>
        <v/>
      </c>
      <c r="K1136">
        <f>HYPERLINK("Not Found")</f>
        <v/>
      </c>
      <c r="L1136">
        <f>HYPERLINK("Not Found")</f>
        <v/>
      </c>
      <c r="M1136" t="inlineStr">
        <is>
          <t>London, United Kingdom</t>
        </is>
      </c>
      <c r="N1136" t="inlineStr">
        <is>
          <t>15,000</t>
        </is>
      </c>
      <c r="O1136" t="inlineStr">
        <is>
          <t>Commercial Real Estate</t>
        </is>
      </c>
      <c r="P1136" t="inlineStr">
        <is>
          <t>project management,advisory,transaction services</t>
        </is>
      </c>
      <c r="Q1136" t="inlineStr">
        <is>
          <t>Not Found</t>
        </is>
      </c>
    </row>
    <row r="1137">
      <c r="A1137" t="inlineStr">
        <is>
          <t>54a55d8d7468693b8c177592</t>
        </is>
      </c>
      <c r="B1137" t="inlineStr">
        <is>
          <t>Aimee Gleed</t>
        </is>
      </c>
      <c r="C1137">
        <f>HYPERLINK("http://www.linkedin.com/in/aimee-gleed-a59b139b")</f>
        <v/>
      </c>
      <c r="D1137" t="inlineStr">
        <is>
          <t>Not Found</t>
        </is>
      </c>
      <c r="E1137" t="inlineStr">
        <is>
          <t>PA to Corporate Affairs Managing Director at Landsec</t>
        </is>
      </c>
      <c r="F1137">
        <f>HYPERLINK("https://app.apollo.io/#/people/54a55d8d7468693b8c177592")</f>
        <v/>
      </c>
      <c r="G1137" t="inlineStr">
        <is>
          <t>Landsec</t>
        </is>
      </c>
      <c r="H1137">
        <f>HYPERLINK("https://app.apollo.io/#/accounts/6578b86a75dc3a02ccc995c8")</f>
        <v/>
      </c>
      <c r="I1137">
        <f>HYPERLINK("http://www.landsec.com/")</f>
        <v/>
      </c>
      <c r="J1137">
        <f>HYPERLINK("http://www.linkedin.com/company/landsec")</f>
        <v/>
      </c>
      <c r="K1137">
        <f>HYPERLINK("https://twitter.com/landsecgroup?lang=en")</f>
        <v/>
      </c>
      <c r="L1137">
        <f>HYPERLINK("https://facebook.com/pages/category/Real-Estate-Company/Landsec-Group-335042077050643/")</f>
        <v/>
      </c>
      <c r="M1137" t="inlineStr">
        <is>
          <t>London, United Kingdom</t>
        </is>
      </c>
      <c r="N1137" t="inlineStr">
        <is>
          <t>860</t>
        </is>
      </c>
      <c r="O1137" t="inlineStr">
        <is>
          <t>Commercial Real Estate</t>
        </is>
      </c>
      <c r="P1137" t="inlineStr">
        <is>
          <t>property investment,management &amp; development</t>
        </is>
      </c>
      <c r="Q1137" t="inlineStr">
        <is>
          <t>Not Found</t>
        </is>
      </c>
    </row>
    <row r="1138">
      <c r="A1138" t="inlineStr">
        <is>
          <t>57e1dc2ba6da98093ee3fb3b</t>
        </is>
      </c>
      <c r="B1138" t="inlineStr">
        <is>
          <t>Christine Schembri</t>
        </is>
      </c>
      <c r="C1138">
        <f>HYPERLINK("http://www.linkedin.com/in/christine-schembri-9b2676106")</f>
        <v/>
      </c>
      <c r="D1138" t="inlineStr">
        <is>
          <t>Not Found</t>
        </is>
      </c>
      <c r="E1138" t="inlineStr">
        <is>
          <t>Personal Assistant to Managing Director and Development Team</t>
        </is>
      </c>
      <c r="F1138">
        <f>HYPERLINK("https://app.apollo.io/#/people/57e1dc2ba6da98093ee3fb3b")</f>
        <v/>
      </c>
      <c r="G1138" t="inlineStr">
        <is>
          <t>Dukelease Properties</t>
        </is>
      </c>
      <c r="H1138">
        <f>HYPERLINK("https://app.apollo.io/#/accounts/6578b8c085cede01ae5c46a1")</f>
        <v/>
      </c>
      <c r="I1138">
        <f>HYPERLINK("http://www.dukelease.com/")</f>
        <v/>
      </c>
      <c r="J1138">
        <f>HYPERLINK("http://www.linkedin.com/company/dukeleaseproperties")</f>
        <v/>
      </c>
      <c r="K1138">
        <f>HYPERLINK("Not Found")</f>
        <v/>
      </c>
      <c r="L1138">
        <f>HYPERLINK("Not Found")</f>
        <v/>
      </c>
      <c r="M1138" t="inlineStr">
        <is>
          <t>London, United Kingdom</t>
        </is>
      </c>
      <c r="N1138" t="inlineStr">
        <is>
          <t>12</t>
        </is>
      </c>
      <c r="O1138" t="inlineStr">
        <is>
          <t>Commercial Real Estate</t>
        </is>
      </c>
      <c r="P1138" t="inlineStr">
        <is>
          <t>commercial real estate</t>
        </is>
      </c>
      <c r="Q1138" t="inlineStr">
        <is>
          <t>Not Found</t>
        </is>
      </c>
    </row>
    <row r="1139">
      <c r="A1139" t="inlineStr">
        <is>
          <t>5d465cf580f93ededb13ac9e</t>
        </is>
      </c>
      <c r="B1139" t="inlineStr">
        <is>
          <t>Ben Martin</t>
        </is>
      </c>
      <c r="C1139">
        <f>HYPERLINK("http://www.linkedin.com/in/ben-martin-ndy")</f>
        <v/>
      </c>
      <c r="D1139" t="inlineStr">
        <is>
          <t>Not Found</t>
        </is>
      </c>
      <c r="E1139" t="inlineStr">
        <is>
          <t>Director - Google Complex Programs - Global Digital Buildings Delivery Lead</t>
        </is>
      </c>
      <c r="F1139">
        <f>HYPERLINK("https://app.apollo.io/#/people/5d465cf580f93ededb13ac9e")</f>
        <v/>
      </c>
      <c r="G1139" t="inlineStr">
        <is>
          <t>CBRE Global Workplace Solutions (GWS)</t>
        </is>
      </c>
      <c r="H1139">
        <f>HYPERLINK("https://app.apollo.io/#/accounts/6509fed6f449800001b69a15")</f>
        <v/>
      </c>
      <c r="I1139">
        <f>HYPERLINK("http://www.coor.com/")</f>
        <v/>
      </c>
      <c r="J1139">
        <f>HYPERLINK("http://www.linkedin.com/company/cbre-gws")</f>
        <v/>
      </c>
      <c r="K1139">
        <f>HYPERLINK("Not Found")</f>
        <v/>
      </c>
      <c r="L1139">
        <f>HYPERLINK("Not Found")</f>
        <v/>
      </c>
      <c r="M1139" t="inlineStr">
        <is>
          <t>London, United Kingdom</t>
        </is>
      </c>
      <c r="N1139" t="inlineStr">
        <is>
          <t>15,000</t>
        </is>
      </c>
      <c r="O1139" t="inlineStr">
        <is>
          <t>Commercial Real Estate</t>
        </is>
      </c>
      <c r="P1139" t="inlineStr">
        <is>
          <t>project management,advisory,transaction services</t>
        </is>
      </c>
      <c r="Q1139" t="inlineStr">
        <is>
          <t>Not Found</t>
        </is>
      </c>
    </row>
    <row r="1140">
      <c r="A1140" t="inlineStr">
        <is>
          <t>6267cb7d2188d800013df85f</t>
        </is>
      </c>
      <c r="B1140" t="inlineStr">
        <is>
          <t>Carrie Gavin</t>
        </is>
      </c>
      <c r="C1140">
        <f>HYPERLINK("http://www.linkedin.com/in/carrie-gavin-064b03b")</f>
        <v/>
      </c>
      <c r="D1140" t="inlineStr">
        <is>
          <t>Not Found</t>
        </is>
      </c>
      <c r="E1140" t="inlineStr">
        <is>
          <t>Director - Business Transitions MAC | Financial &amp; Professional Services Sector at CBRE</t>
        </is>
      </c>
      <c r="F1140">
        <f>HYPERLINK("https://app.apollo.io/#/people/6267cb7d2188d800013df85f")</f>
        <v/>
      </c>
      <c r="G1140" t="inlineStr">
        <is>
          <t>CBRE Global Workplace Solutions (GWS)</t>
        </is>
      </c>
      <c r="H1140">
        <f>HYPERLINK("https://app.apollo.io/#/accounts/6509fed6f449800001b69a15")</f>
        <v/>
      </c>
      <c r="I1140">
        <f>HYPERLINK("http://www.coor.com/")</f>
        <v/>
      </c>
      <c r="J1140">
        <f>HYPERLINK("http://www.linkedin.com/company/cbre-gws")</f>
        <v/>
      </c>
      <c r="K1140">
        <f>HYPERLINK("Not Found")</f>
        <v/>
      </c>
      <c r="L1140">
        <f>HYPERLINK("Not Found")</f>
        <v/>
      </c>
      <c r="M1140" t="inlineStr">
        <is>
          <t>London, United Kingdom</t>
        </is>
      </c>
      <c r="N1140" t="inlineStr">
        <is>
          <t>15,000</t>
        </is>
      </c>
      <c r="O1140" t="inlineStr">
        <is>
          <t>Commercial Real Estate</t>
        </is>
      </c>
      <c r="P1140" t="inlineStr">
        <is>
          <t>project management,advisory,transaction services</t>
        </is>
      </c>
      <c r="Q1140" t="inlineStr">
        <is>
          <t>Not Found</t>
        </is>
      </c>
    </row>
    <row r="1141">
      <c r="A1141" t="inlineStr">
        <is>
          <t>615d3b8368bc1600012714c6</t>
        </is>
      </c>
      <c r="B1141" t="inlineStr">
        <is>
          <t>Steve Richardson</t>
        </is>
      </c>
      <c r="C1141">
        <f>HYPERLINK("http://www.linkedin.com/in/steve-richardson-uk")</f>
        <v/>
      </c>
      <c r="D1141" t="inlineStr">
        <is>
          <t>Not Found</t>
        </is>
      </c>
      <c r="E1141" t="inlineStr">
        <is>
          <t>Senior Operations Director (Technology) at CBRE Global Workplace Solutions (GWS)</t>
        </is>
      </c>
      <c r="F1141">
        <f>HYPERLINK("https://app.apollo.io/#/people/615d3b8368bc1600012714c6")</f>
        <v/>
      </c>
      <c r="G1141" t="inlineStr">
        <is>
          <t>CBRE Global Workplace Solutions (GWS)</t>
        </is>
      </c>
      <c r="H1141">
        <f>HYPERLINK("https://app.apollo.io/#/accounts/6509fed6f449800001b69a15")</f>
        <v/>
      </c>
      <c r="I1141">
        <f>HYPERLINK("http://www.coor.com/")</f>
        <v/>
      </c>
      <c r="J1141">
        <f>HYPERLINK("http://www.linkedin.com/company/cbre-gws")</f>
        <v/>
      </c>
      <c r="K1141">
        <f>HYPERLINK("Not Found")</f>
        <v/>
      </c>
      <c r="L1141">
        <f>HYPERLINK("Not Found")</f>
        <v/>
      </c>
      <c r="M1141" t="inlineStr">
        <is>
          <t>Romford, United Kingdom</t>
        </is>
      </c>
      <c r="N1141" t="inlineStr">
        <is>
          <t>15,000</t>
        </is>
      </c>
      <c r="O1141" t="inlineStr">
        <is>
          <t>Commercial Real Estate</t>
        </is>
      </c>
      <c r="P1141" t="inlineStr">
        <is>
          <t>project management,advisory,transaction services</t>
        </is>
      </c>
      <c r="Q1141" t="inlineStr">
        <is>
          <t>Not Found</t>
        </is>
      </c>
    </row>
    <row r="1142">
      <c r="A1142" t="inlineStr">
        <is>
          <t>54ec5301746869431156c07f</t>
        </is>
      </c>
      <c r="B1142" t="inlineStr">
        <is>
          <t>Elizabeth Hehir</t>
        </is>
      </c>
      <c r="C1142">
        <f>HYPERLINK("http://www.linkedin.com/in/elizabeth-hehir-29848a31")</f>
        <v/>
      </c>
      <c r="D1142" t="inlineStr">
        <is>
          <t>Not Found</t>
        </is>
      </c>
      <c r="E1142" t="inlineStr">
        <is>
          <t>EMEA Regional Finance Director: UK, Ireland, EMEA Joint Ventures &amp; Affiliates</t>
        </is>
      </c>
      <c r="F1142">
        <f>HYPERLINK("https://app.apollo.io/#/people/54ec5301746869431156c07f")</f>
        <v/>
      </c>
      <c r="G1142" t="inlineStr">
        <is>
          <t>CBRE Global Workplace Solutions (GWS)</t>
        </is>
      </c>
      <c r="H1142">
        <f>HYPERLINK("https://app.apollo.io/#/accounts/6509fed6f449800001b69a15")</f>
        <v/>
      </c>
      <c r="I1142">
        <f>HYPERLINK("http://www.coor.com/")</f>
        <v/>
      </c>
      <c r="J1142">
        <f>HYPERLINK("http://www.linkedin.com/company/cbre-gws")</f>
        <v/>
      </c>
      <c r="K1142">
        <f>HYPERLINK("Not Found")</f>
        <v/>
      </c>
      <c r="L1142">
        <f>HYPERLINK("Not Found")</f>
        <v/>
      </c>
      <c r="M1142" t="inlineStr">
        <is>
          <t>United Kingdom</t>
        </is>
      </c>
      <c r="N1142" t="inlineStr">
        <is>
          <t>15,000</t>
        </is>
      </c>
      <c r="O1142" t="inlineStr">
        <is>
          <t>Commercial Real Estate</t>
        </is>
      </c>
      <c r="P1142" t="inlineStr">
        <is>
          <t>project management,advisory,transaction services</t>
        </is>
      </c>
      <c r="Q1142" t="inlineStr">
        <is>
          <t>Not Found</t>
        </is>
      </c>
    </row>
    <row r="1143">
      <c r="A1143" t="inlineStr">
        <is>
          <t>54a7a8567468696b7fb72e49</t>
        </is>
      </c>
      <c r="B1143" t="inlineStr">
        <is>
          <t>Christine Regragui</t>
        </is>
      </c>
      <c r="C1143">
        <f>HYPERLINK("http://www.linkedin.com/in/christine-regragui-343a7920")</f>
        <v/>
      </c>
      <c r="D1143" t="inlineStr">
        <is>
          <t>Not Found</t>
        </is>
      </c>
      <c r="E1143" t="inlineStr">
        <is>
          <t>Assistant to Director Sales EACRME Drilling Systems</t>
        </is>
      </c>
      <c r="F1143">
        <f>HYPERLINK("https://app.apollo.io/#/people/54a7a8567468696b7fb72e49")</f>
        <v/>
      </c>
      <c r="G1143" t="inlineStr">
        <is>
          <t>Cameron</t>
        </is>
      </c>
      <c r="H1143">
        <f>HYPERLINK("https://app.apollo.io/#/organizations/57c505e6a6da986a07d2c381")</f>
        <v/>
      </c>
      <c r="I1143">
        <f>HYPERLINK("http://www.cameron.com.au/")</f>
        <v/>
      </c>
      <c r="J1143">
        <f>HYPERLINK("http://www.linkedin.com/company/cameron-industrial-commercial")</f>
        <v/>
      </c>
      <c r="K1143">
        <f>HYPERLINK("Not Found")</f>
        <v/>
      </c>
      <c r="L1143">
        <f>HYPERLINK("https://www.facebook.com/cameron.commercial")</f>
        <v/>
      </c>
      <c r="M1143" t="inlineStr">
        <is>
          <t>London, United Kingdom</t>
        </is>
      </c>
      <c r="N1143" t="inlineStr">
        <is>
          <t>87</t>
        </is>
      </c>
      <c r="O1143" t="inlineStr">
        <is>
          <t>Commercial Real Estate</t>
        </is>
      </c>
      <c r="P1143" t="inlineStr">
        <is>
          <t>commercial real estate,property management</t>
        </is>
      </c>
      <c r="Q1143" t="inlineStr">
        <is>
          <t>Not Found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2023-12-12T06:51:59Z</dcterms:created>
  <dcterms:modified xsi:type="dcterms:W3CDTF">2023-12-12T21:10:52Z</dcterms:modified>
</cp:coreProperties>
</file>