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bookViews>
    <workbookView xWindow="0" yWindow="0" windowWidth="16384" windowHeight="8192" activeTab="1" xr2:uid="{00000000-000D-0000-FFFF-FFFF00000000}"/>
  </bookViews>
  <sheets>
    <sheet name="Telsa S" sheetId="1" r:id="rId1"/>
    <sheet name="BMW i3" sheetId="2" r:id="rId2"/>
    <sheet name="MileagePayments" sheetId="3" state="hidden" r:id="rId3"/>
  </sheets>
  <calcPr calcId="171026" iterateDelta="1E-4"/>
</workbook>
</file>

<file path=xl/calcChain.xml><?xml version="1.0" encoding="utf-8"?>
<calcChain xmlns="http://schemas.openxmlformats.org/spreadsheetml/2006/main">
  <c r="C58" i="3" l="1"/>
  <c r="D58" i="3"/>
  <c r="C57" i="3"/>
  <c r="D57" i="3"/>
  <c r="C56" i="3"/>
  <c r="D56" i="3"/>
  <c r="C8" i="3"/>
  <c r="A6" i="3"/>
  <c r="A7" i="3"/>
  <c r="A9" i="3"/>
  <c r="C9" i="3"/>
  <c r="C10" i="3"/>
  <c r="A21" i="3"/>
  <c r="A16" i="3"/>
  <c r="A17" i="3"/>
  <c r="A19" i="3"/>
  <c r="A22" i="3"/>
  <c r="A24" i="3"/>
  <c r="A25" i="3"/>
  <c r="A27" i="3"/>
  <c r="C43" i="3"/>
  <c r="D43" i="3"/>
  <c r="E43" i="3"/>
  <c r="D50" i="3"/>
  <c r="D52" i="3"/>
  <c r="G43" i="3"/>
  <c r="F43" i="3"/>
  <c r="A32" i="3"/>
  <c r="E10" i="3"/>
  <c r="E12" i="3"/>
  <c r="E14" i="3"/>
  <c r="E15" i="3"/>
  <c r="E16" i="3"/>
  <c r="J11" i="3"/>
  <c r="J13" i="3"/>
  <c r="C211" i="2"/>
  <c r="B99" i="2"/>
  <c r="B100" i="2"/>
  <c r="B109" i="2"/>
  <c r="B110" i="2"/>
  <c r="C212" i="2"/>
  <c r="C213" i="2"/>
  <c r="C129" i="2"/>
  <c r="C131" i="2"/>
  <c r="D129" i="2"/>
  <c r="D131" i="2"/>
  <c r="E129" i="2"/>
  <c r="E131" i="2"/>
  <c r="H131" i="2"/>
  <c r="C130" i="2"/>
  <c r="D130" i="2"/>
  <c r="E130" i="2"/>
  <c r="H130" i="2"/>
  <c r="C147" i="2"/>
  <c r="B147" i="2"/>
  <c r="C216" i="2"/>
  <c r="C218" i="2"/>
  <c r="C219" i="2"/>
  <c r="C134" i="2"/>
  <c r="C136" i="2"/>
  <c r="D134" i="2"/>
  <c r="D136" i="2"/>
  <c r="E134" i="2"/>
  <c r="E136" i="2"/>
  <c r="H136" i="2"/>
  <c r="E216" i="2"/>
  <c r="D175" i="2"/>
  <c r="D176" i="2"/>
  <c r="B186" i="2"/>
  <c r="B169" i="2"/>
  <c r="C186" i="2"/>
  <c r="B175" i="2"/>
  <c r="B176" i="2"/>
  <c r="E186" i="2"/>
  <c r="B204" i="2"/>
  <c r="E217" i="2"/>
  <c r="E218" i="2"/>
  <c r="B205" i="2"/>
  <c r="B206" i="2"/>
  <c r="B199" i="2"/>
  <c r="B200" i="2"/>
  <c r="C194" i="2"/>
  <c r="J194" i="2"/>
  <c r="I194" i="2"/>
  <c r="H194" i="2"/>
  <c r="G194" i="2"/>
  <c r="F194" i="2"/>
  <c r="E194" i="2"/>
  <c r="D194" i="2"/>
  <c r="B194" i="2"/>
  <c r="C193" i="2"/>
  <c r="J193" i="2"/>
  <c r="I193" i="2"/>
  <c r="H193" i="2"/>
  <c r="G193" i="2"/>
  <c r="F193" i="2"/>
  <c r="E193" i="2"/>
  <c r="D193" i="2"/>
  <c r="B193" i="2"/>
  <c r="C192" i="2"/>
  <c r="J192" i="2"/>
  <c r="I192" i="2"/>
  <c r="H192" i="2"/>
  <c r="G192" i="2"/>
  <c r="F192" i="2"/>
  <c r="E192" i="2"/>
  <c r="D192" i="2"/>
  <c r="B192" i="2"/>
  <c r="C191" i="2"/>
  <c r="J191" i="2"/>
  <c r="I191" i="2"/>
  <c r="H191" i="2"/>
  <c r="G191" i="2"/>
  <c r="F191" i="2"/>
  <c r="E191" i="2"/>
  <c r="D191" i="2"/>
  <c r="B191" i="2"/>
  <c r="C190" i="2"/>
  <c r="J190" i="2"/>
  <c r="I190" i="2"/>
  <c r="H190" i="2"/>
  <c r="G190" i="2"/>
  <c r="F190" i="2"/>
  <c r="E190" i="2"/>
  <c r="D190" i="2"/>
  <c r="B190" i="2"/>
  <c r="C189" i="2"/>
  <c r="J189" i="2"/>
  <c r="I189" i="2"/>
  <c r="H189" i="2"/>
  <c r="G189" i="2"/>
  <c r="F189" i="2"/>
  <c r="E189" i="2"/>
  <c r="D189" i="2"/>
  <c r="B189" i="2"/>
  <c r="C188" i="2"/>
  <c r="J188" i="2"/>
  <c r="I188" i="2"/>
  <c r="H188" i="2"/>
  <c r="G188" i="2"/>
  <c r="F188" i="2"/>
  <c r="E188" i="2"/>
  <c r="D188" i="2"/>
  <c r="B188" i="2"/>
  <c r="C187" i="2"/>
  <c r="J187" i="2"/>
  <c r="I187" i="2"/>
  <c r="H187" i="2"/>
  <c r="G187" i="2"/>
  <c r="F187" i="2"/>
  <c r="E187" i="2"/>
  <c r="D187" i="2"/>
  <c r="B187" i="2"/>
  <c r="J186" i="2"/>
  <c r="I186" i="2"/>
  <c r="H186" i="2"/>
  <c r="G186" i="2"/>
  <c r="F186" i="2"/>
  <c r="D186" i="2"/>
  <c r="C185" i="2"/>
  <c r="J185" i="2"/>
  <c r="I185" i="2"/>
  <c r="H185" i="2"/>
  <c r="G185" i="2"/>
  <c r="F185" i="2"/>
  <c r="E185" i="2"/>
  <c r="D185" i="2"/>
  <c r="B185" i="2"/>
  <c r="C184" i="2"/>
  <c r="J184" i="2"/>
  <c r="I184" i="2"/>
  <c r="H184" i="2"/>
  <c r="G184" i="2"/>
  <c r="F184" i="2"/>
  <c r="E184" i="2"/>
  <c r="D184" i="2"/>
  <c r="B184" i="2"/>
  <c r="C183" i="2"/>
  <c r="J183" i="2"/>
  <c r="I183" i="2"/>
  <c r="H183" i="2"/>
  <c r="G183" i="2"/>
  <c r="F183" i="2"/>
  <c r="E183" i="2"/>
  <c r="D183" i="2"/>
  <c r="B183" i="2"/>
  <c r="C182" i="2"/>
  <c r="J182" i="2"/>
  <c r="I182" i="2"/>
  <c r="H182" i="2"/>
  <c r="G182" i="2"/>
  <c r="F182" i="2"/>
  <c r="E182" i="2"/>
  <c r="D182" i="2"/>
  <c r="B182" i="2"/>
  <c r="C181" i="2"/>
  <c r="J181" i="2"/>
  <c r="I181" i="2"/>
  <c r="H181" i="2"/>
  <c r="G181" i="2"/>
  <c r="F181" i="2"/>
  <c r="E181" i="2"/>
  <c r="D181" i="2"/>
  <c r="B181" i="2"/>
  <c r="C180" i="2"/>
  <c r="J180" i="2"/>
  <c r="I180" i="2"/>
  <c r="H180" i="2"/>
  <c r="G180" i="2"/>
  <c r="F180" i="2"/>
  <c r="E180" i="2"/>
  <c r="D180" i="2"/>
  <c r="B180" i="2"/>
  <c r="C179" i="2"/>
  <c r="J179" i="2"/>
  <c r="I179" i="2"/>
  <c r="H179" i="2"/>
  <c r="G179" i="2"/>
  <c r="F179" i="2"/>
  <c r="E179" i="2"/>
  <c r="D179" i="2"/>
  <c r="B179" i="2"/>
  <c r="F129" i="2"/>
  <c r="F131" i="2"/>
  <c r="G129" i="2"/>
  <c r="G131" i="2"/>
  <c r="I131" i="2"/>
  <c r="F130" i="2"/>
  <c r="G130" i="2"/>
  <c r="I130" i="2"/>
  <c r="C148" i="2"/>
  <c r="B148" i="2"/>
  <c r="B141" i="2"/>
  <c r="C141" i="2"/>
  <c r="C135" i="2"/>
  <c r="D135" i="2"/>
  <c r="E135" i="2"/>
  <c r="H135" i="2"/>
  <c r="B140" i="2"/>
  <c r="C140" i="2"/>
  <c r="F134" i="2"/>
  <c r="F136" i="2"/>
  <c r="G134" i="2"/>
  <c r="G136" i="2"/>
  <c r="I136" i="2"/>
  <c r="F135" i="2"/>
  <c r="G135" i="2"/>
  <c r="I135" i="2"/>
  <c r="C107" i="2"/>
  <c r="E65" i="2"/>
  <c r="C78" i="2"/>
  <c r="B67" i="2"/>
  <c r="D67" i="2"/>
  <c r="D66" i="2"/>
  <c r="D68" i="2"/>
  <c r="D69" i="2"/>
  <c r="D70" i="2"/>
  <c r="C79" i="2"/>
  <c r="C80" i="2"/>
  <c r="C97" i="2"/>
  <c r="C99" i="2"/>
  <c r="C100" i="2"/>
  <c r="C109" i="2"/>
  <c r="C110" i="2"/>
  <c r="C111" i="2"/>
  <c r="B111" i="2"/>
  <c r="C108" i="2"/>
  <c r="B46" i="2"/>
  <c r="B107" i="2"/>
  <c r="C106" i="2"/>
  <c r="B106" i="2"/>
  <c r="C105" i="2"/>
  <c r="B105" i="2"/>
  <c r="E102" i="2"/>
  <c r="C65" i="2"/>
  <c r="B78" i="2"/>
  <c r="B80" i="2"/>
  <c r="C67" i="2"/>
  <c r="E67" i="2"/>
  <c r="E66" i="2"/>
  <c r="E68" i="2"/>
  <c r="E69" i="2"/>
  <c r="E70" i="2"/>
  <c r="C68" i="2"/>
  <c r="C69" i="2"/>
  <c r="C70" i="2"/>
  <c r="B68" i="2"/>
  <c r="B69" i="2"/>
  <c r="B70" i="2"/>
  <c r="B51" i="2"/>
  <c r="B21" i="2"/>
  <c r="B23" i="2"/>
  <c r="I18" i="2"/>
  <c r="H18" i="2"/>
  <c r="B18" i="2"/>
  <c r="C17" i="2"/>
  <c r="C16" i="2"/>
  <c r="C203" i="1"/>
  <c r="B134" i="1"/>
  <c r="D135" i="1"/>
  <c r="D137" i="1"/>
  <c r="E135" i="1"/>
  <c r="E137" i="1"/>
  <c r="F135" i="1"/>
  <c r="F137" i="1"/>
  <c r="H137" i="1"/>
  <c r="B129" i="1"/>
  <c r="D130" i="1"/>
  <c r="D132" i="1"/>
  <c r="E130" i="1"/>
  <c r="E132" i="1"/>
  <c r="F130" i="1"/>
  <c r="F132" i="1"/>
  <c r="H132" i="1"/>
  <c r="B142" i="1"/>
  <c r="E208" i="1"/>
  <c r="B176" i="1"/>
  <c r="B177" i="1"/>
  <c r="B187" i="1"/>
  <c r="B170" i="1"/>
  <c r="C187" i="1"/>
  <c r="B198" i="1"/>
  <c r="E209" i="1"/>
  <c r="B47" i="1"/>
  <c r="C66" i="1"/>
  <c r="B79" i="1"/>
  <c r="B68" i="1"/>
  <c r="B69" i="1"/>
  <c r="B70" i="1"/>
  <c r="B71" i="1"/>
  <c r="B80" i="1"/>
  <c r="B81" i="1"/>
  <c r="B109" i="1"/>
  <c r="B98" i="1"/>
  <c r="B100" i="1"/>
  <c r="B101" i="1"/>
  <c r="B110" i="1"/>
  <c r="B111" i="1"/>
  <c r="C204" i="1"/>
  <c r="C205" i="1"/>
  <c r="E210" i="1"/>
  <c r="E211" i="1"/>
  <c r="D131" i="1"/>
  <c r="E131" i="1"/>
  <c r="F131" i="1"/>
  <c r="H131" i="1"/>
  <c r="C148" i="1"/>
  <c r="C208" i="1"/>
  <c r="C210" i="1"/>
  <c r="C211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G130" i="1"/>
  <c r="G132" i="1"/>
  <c r="I132" i="1"/>
  <c r="G131" i="1"/>
  <c r="I131" i="1"/>
  <c r="C149" i="1"/>
  <c r="B149" i="1"/>
  <c r="B148" i="1"/>
  <c r="C142" i="1"/>
  <c r="D136" i="1"/>
  <c r="E136" i="1"/>
  <c r="F136" i="1"/>
  <c r="H136" i="1"/>
  <c r="B141" i="1"/>
  <c r="C141" i="1"/>
  <c r="G135" i="1"/>
  <c r="G137" i="1"/>
  <c r="I137" i="1"/>
  <c r="C135" i="1"/>
  <c r="C137" i="1"/>
  <c r="G136" i="1"/>
  <c r="I136" i="1"/>
  <c r="C136" i="1"/>
  <c r="C130" i="1"/>
  <c r="C132" i="1"/>
  <c r="C131" i="1"/>
  <c r="C47" i="1"/>
  <c r="C108" i="1"/>
  <c r="E66" i="1"/>
  <c r="C79" i="1"/>
  <c r="D68" i="1"/>
  <c r="D67" i="1"/>
  <c r="D69" i="1"/>
  <c r="D70" i="1"/>
  <c r="D71" i="1"/>
  <c r="C80" i="1"/>
  <c r="C81" i="1"/>
  <c r="C98" i="1"/>
  <c r="C100" i="1"/>
  <c r="C101" i="1"/>
  <c r="C110" i="1"/>
  <c r="C111" i="1"/>
  <c r="C112" i="1"/>
  <c r="B112" i="1"/>
  <c r="C109" i="1"/>
  <c r="B108" i="1"/>
  <c r="C107" i="1"/>
  <c r="B107" i="1"/>
  <c r="C106" i="1"/>
  <c r="B106" i="1"/>
  <c r="E103" i="1"/>
  <c r="C68" i="1"/>
  <c r="E68" i="1"/>
  <c r="E67" i="1"/>
  <c r="E69" i="1"/>
  <c r="E70" i="1"/>
  <c r="E71" i="1"/>
  <c r="C69" i="1"/>
  <c r="C70" i="1"/>
  <c r="C71" i="1"/>
  <c r="B21" i="1"/>
  <c r="B23" i="1"/>
  <c r="B50" i="1"/>
  <c r="C50" i="1"/>
  <c r="C51" i="1"/>
  <c r="C52" i="1"/>
  <c r="B51" i="1"/>
  <c r="B52" i="1"/>
  <c r="I18" i="1"/>
  <c r="H18" i="1"/>
  <c r="B18" i="1"/>
  <c r="C17" i="1"/>
  <c r="C16" i="1"/>
</calcChain>
</file>

<file path=xl/sharedStrings.xml><?xml version="1.0" encoding="utf-8"?>
<sst xmlns="http://schemas.openxmlformats.org/spreadsheetml/2006/main" count="457" uniqueCount="282">
  <si>
    <t>Tax advantages of buying an EV Through your business….</t>
  </si>
  <si>
    <t>I'm assuming you are a company director - either a 1 person company freelancer, or someone with employees and making some profit that you can carry forward or withdraw as dividends.</t>
  </si>
  <si>
    <t>Large corporates can do their own maths as they'll have a fleet of accountants looking for tax dodges and will probably register the car in the Dutch Antilles or something like that ;-)</t>
  </si>
  <si>
    <t>I'm going to assume you are sensible and take the recommended mix of a basic salary that gets you NI credits for a pension entitlement but take the rest in dividends to the point where the 40% tax bracket starts.</t>
  </si>
  <si>
    <t>IF you do take money more than this... good news - taking a bit less and getting a new EV instead will save you lots!</t>
  </si>
  <si>
    <t>In the 2014/15 Tax year the recommended mix is a salary of £7965 (£664/month) + dividends of £30,518 (£2,543 per month)</t>
  </si>
  <si>
    <t>Note there is an alternative scheme where you take £10,000 (£833/month) and use the new £2,000 NI Free allowance for the 1st 5 employees.</t>
  </si>
  <si>
    <t>However I haven't switched to this regime as I think it will disappear and you'll be stuck paying higher taxes in future.</t>
  </si>
  <si>
    <t>Here's what are the recommended figures for a director to take this year.</t>
  </si>
  <si>
    <t>Some extra numbers which I keep needing to refer to..</t>
  </si>
  <si>
    <t>Yearly</t>
  </si>
  <si>
    <t>Monthly</t>
  </si>
  <si>
    <t>13/14</t>
  </si>
  <si>
    <t>14/15</t>
  </si>
  <si>
    <t>Salary</t>
  </si>
  <si>
    <t>Personal Allowance</t>
  </si>
  <si>
    <t>Dividends</t>
  </si>
  <si>
    <t>Basic Rate limit</t>
  </si>
  <si>
    <t>Total</t>
  </si>
  <si>
    <t>Recommend Salary</t>
  </si>
  <si>
    <t>If you want that worked backwards:</t>
  </si>
  <si>
    <t>Gross Div</t>
  </si>
  <si>
    <t>Gross Income</t>
  </si>
  <si>
    <t>40% starts at £31,865 of taxable income - i.e. £41,865 after £10,000 allowance is taken off.</t>
  </si>
  <si>
    <t>Here's some guide to illustrate the above…</t>
  </si>
  <si>
    <t>The nice yellow green and blue table half way down this page explains the basics.</t>
  </si>
  <si>
    <t>http://www.inniaccounts.co.uk/guide/contractor-salary-2014/</t>
  </si>
  <si>
    <t>This one explains the numbers a bit better. (Although I think there's a cut paste error saying last year's £42,475 instead of this years £41,865 at the end of the up/down limit section)</t>
  </si>
  <si>
    <t>http://www.jlaaccounting.co.uk/what-is-the-most-tax-efficient-remuneration-strategy-for-directors-in-the-20142015-tax-year/</t>
  </si>
  <si>
    <t>So we now know if you are sensible and got to invoice a lot this year, you'll be taking home £38,474 from nett.</t>
  </si>
  <si>
    <t>If you don't have enough cash at hand - you can still put down up to a deposit on finance and get corporation tax relief on that.</t>
  </si>
  <si>
    <t>But I want to show the potential saving, so lets assume you managed to invoice enough on top of that to buy a Telsa with minimal options</t>
  </si>
  <si>
    <t>OR have retained profit from prior years but know if you take it out the company it will get hit with higher rate tax.</t>
  </si>
  <si>
    <t>Personally I keep money in the company in case in future years there's less work.</t>
  </si>
  <si>
    <t>Self insurance - I can still pay myself a salary and dividends - even if I'm not working as DSS won't pay me anything as a company director.</t>
  </si>
  <si>
    <t>IF you spec up an minimum spec Telsa with  supercharger its "just" £52,00</t>
  </si>
  <si>
    <t>Might sounds a lot - but a 535d Auto with just Pro Nav upgrade (to get a screen 1/5 the size of the Tesla) costs ovver £48k</t>
  </si>
  <si>
    <t>1st thing is - you'll knock £5,000 off the list from the government grant. To be fair I'll assume you get £2,000 dealer or broker discount off the 535d.</t>
  </si>
  <si>
    <t>Telsa 60kWh+ SC</t>
  </si>
  <si>
    <t>BMW 535d</t>
  </si>
  <si>
    <t>List Price</t>
  </si>
  <si>
    <t>Grant</t>
  </si>
  <si>
    <t>Net Price</t>
  </si>
  <si>
    <t>So to be able to buy the Telsa you'll need to make (or have retained profit where you already paid corporation tax)</t>
  </si>
  <si>
    <t>Your withdrawls</t>
  </si>
  <si>
    <t>Purchase Price</t>
  </si>
  <si>
    <t>Need capital after all other costs</t>
  </si>
  <si>
    <t>Note you can lease but you don't get some of the tax breaks. Better to do contract purchase and pay as much in yr 1 as possible….</t>
  </si>
  <si>
    <t>There's a special deal from the governement for corporate EV buyers at the moment. Something called the First Year Allowance.</t>
  </si>
  <si>
    <t>Normally when you buy a company vehicle - the government allow you to write of 18% of the costs as an expense against corporation tax due (if it has less than 130 g/km emissions).</t>
  </si>
  <si>
    <t>However if you have less than 75 g/km emissions, and I don't think any Internal Combustion Engine (ICE) cars do, then you can write down 100% in the first year.</t>
  </si>
  <si>
    <t>What does that mean?</t>
  </si>
  <si>
    <t>For every £1,000 profit you had made you should normally pay 20% tax or £200.</t>
  </si>
  <si>
    <t>But now you can deduct the cost of the car first - and then pay tax on what is left.</t>
  </si>
  <si>
    <t>So assuming you made profits of more than £50,000…. I've done 2 examples 1 @ £50k profit and 1 @ £70k. It makes no difference - just to show you the CT Saving.</t>
  </si>
  <si>
    <t>Corporation Tax Rate</t>
  </si>
  <si>
    <t>Car Cost after Grant / Discounts</t>
  </si>
  <si>
    <t>Telsa</t>
  </si>
  <si>
    <t>535d</t>
  </si>
  <si>
    <t>Taxable Profit</t>
  </si>
  <si>
    <t>Normal Corporation Tax Due</t>
  </si>
  <si>
    <t>Taxable Profit after write down</t>
  </si>
  <si>
    <t>No WDA at 145g/km on 535d</t>
  </si>
  <si>
    <t>New Tax  Due after write down</t>
  </si>
  <si>
    <t>Saving on Corporation Tax</t>
  </si>
  <si>
    <t>So basically buying the car diverts £9,400 of your fees to Telsa instead of HMRC. Or  £0 for a 535d.</t>
  </si>
  <si>
    <t>One thing to bear in mind if you are using retained profit rather than this year profit - you can't deduct more corporation tax than you owe this year. So you might loose out.</t>
  </si>
  <si>
    <t>I have yet to find out what happens here.</t>
  </si>
  <si>
    <t>So the nett cost to you is now…</t>
  </si>
  <si>
    <t>Price after grant/discount</t>
  </si>
  <si>
    <t>Corporation tax saving</t>
  </si>
  <si>
    <t>Nett cost after FYA Write Down</t>
  </si>
  <si>
    <t>Lovely a £50,000 car for £37,600</t>
  </si>
  <si>
    <t>But we're not done yet, Oh no!</t>
  </si>
  <si>
    <t>Say you bought the car with your own money… you'd have had to take extra dividends out of the company to pay for it.</t>
  </si>
  <si>
    <t>You couldn't buy it from the basic £38,000 of salary + dividends as it's more than the car costs, and you still need to eat, pay a mortgage etc.</t>
  </si>
  <si>
    <t>So how much would you need to have taken to get the money to spend on the car - knowing you'll be paying higher rate dividend tax (32.5%)</t>
  </si>
  <si>
    <t>This is tricky - if you bought it yourself - you wouldn't get the first year allowance, as you personally aren't a company.</t>
  </si>
  <si>
    <t>So you'd have to pay £47,000</t>
  </si>
  <si>
    <t>However I don't want to double count savings… so I'm going to say you are basically sacrificing £37,600 of nett earnings, to get the car instead of having the cash.</t>
  </si>
  <si>
    <t>How much tax would you need to pay to get another £37,600 in you pocket?</t>
  </si>
  <si>
    <t>Well the higher rate tax on dividends is 32.5%.</t>
  </si>
  <si>
    <t>But you can assume 10% has been paid already via the dividend tax credit. So there's 22.5% left to pay.</t>
  </si>
  <si>
    <t>Tesla</t>
  </si>
  <si>
    <t>Nett Dividend</t>
  </si>
  <si>
    <t>Rate</t>
  </si>
  <si>
    <t>Gross Amount</t>
  </si>
  <si>
    <t>Tax</t>
  </si>
  <si>
    <t>So by buying thru the company rather than from post tax dividends we saved:</t>
  </si>
  <si>
    <t>So to recap:</t>
  </si>
  <si>
    <t>Grant or discount</t>
  </si>
  <si>
    <t>Cost after discount</t>
  </si>
  <si>
    <t>Nett cost after FYA/18% WD</t>
  </si>
  <si>
    <t>Personal Tax Savings</t>
  </si>
  <si>
    <t>Net out of pocket costs</t>
  </si>
  <si>
    <t>Total Saving on list price:</t>
  </si>
  <si>
    <t>Really! We are getting a £50,000 car at as net cost to out pocket of just over £29k. Yikes! I need to go and check all my figures again!</t>
  </si>
  <si>
    <t>Ah, but the government aren't daft. They tax you on having the benefit of having a company car instead of cash.</t>
  </si>
  <si>
    <t>Unaspiringly it's called benefit in kind tax (BiK) However the news here for an Tesla owner is good….</t>
  </si>
  <si>
    <t>BiK is calculated against the list price of the car - not after dealer discounts etc.</t>
  </si>
  <si>
    <t>So we start with the £52,000 list price again. That's not so good, but …</t>
  </si>
  <si>
    <t>The rate as which its taxed is based on 2 things…</t>
  </si>
  <si>
    <t>1) the emissions of the car.</t>
  </si>
  <si>
    <t>2) your tax rate - 20% or 40%</t>
  </si>
  <si>
    <t>The Telsa is in the special EV band, which is currently 0% but rising over the next few years. As a comparison I'll stick in an equivalent spec 535d ;-)</t>
  </si>
  <si>
    <t>Rate 14/15</t>
  </si>
  <si>
    <t>Rate 15/16</t>
  </si>
  <si>
    <t>Rate 16/17</t>
  </si>
  <si>
    <t>Rate 17/18</t>
  </si>
  <si>
    <t>18/19</t>
  </si>
  <si>
    <t>3 yrg Total</t>
  </si>
  <si>
    <t>4yr Total</t>
  </si>
  <si>
    <t>Telsa with Supercharger prep</t>
  </si>
  <si>
    <t>Taxable benefit</t>
  </si>
  <si>
    <t>Lower rate payer.</t>
  </si>
  <si>
    <t>Higher Rate payer.</t>
  </si>
  <si>
    <t>535d Auto(138g/km) with Pro Nav</t>
  </si>
  <si>
    <t>That’s some BiK saving VS the 535d even if you were just on an employee company lease scheme - which uses the same calc.</t>
  </si>
  <si>
    <t>The savings are:</t>
  </si>
  <si>
    <t>3 yr total</t>
  </si>
  <si>
    <t>Average yearly</t>
  </si>
  <si>
    <t>Basic Rate Tax Payer</t>
  </si>
  <si>
    <t>Higher Rate (&gt;£41,865 salary)</t>
  </si>
  <si>
    <t>I'm assuming most people allowed to specify a £50 grand car through work are higher rate tax payers. So will save nearly 10 grand in tax over 3 years.</t>
  </si>
  <si>
    <t>Next up… As you didn't take dividend money out of the company to buy the Telsa… and kept your dividends within the 20% rate… you made another saving.</t>
  </si>
  <si>
    <t>Cumulative 3yrs</t>
  </si>
  <si>
    <t>Over 3 years</t>
  </si>
  <si>
    <t>Over 4 years.</t>
  </si>
  <si>
    <t>It all adds up!</t>
  </si>
  <si>
    <t>Finally - we come to fuel costs…. :-)</t>
  </si>
  <si>
    <t>Electricity is bought by the kilowatt hour (kWh). Killer what's that?</t>
  </si>
  <si>
    <t>That using electric at the rate of 1kilowatt for 1 hours.</t>
  </si>
  <si>
    <t>To put that into perspective, that’s about the same work as 5 humans pedalling moderately hard for an hour in the gym  (200Wx5x1hr)</t>
  </si>
  <si>
    <t>How long dos 1kWh last ?…</t>
  </si>
  <si>
    <t>A kettle</t>
  </si>
  <si>
    <t>20 minutes</t>
  </si>
  <si>
    <t>An electric shower</t>
  </si>
  <si>
    <t>6 minutes</t>
  </si>
  <si>
    <t>TV (100W is lower end)</t>
  </si>
  <si>
    <t>10 hours</t>
  </si>
  <si>
    <t>60W light bulb</t>
  </si>
  <si>
    <t>16 hours</t>
  </si>
  <si>
    <t>11W energy Saver</t>
  </si>
  <si>
    <t>80 hours</t>
  </si>
  <si>
    <t>4W LED Bulb</t>
  </si>
  <si>
    <t>250 hours</t>
  </si>
  <si>
    <t>Telsa S</t>
  </si>
  <si>
    <t>0.33 miles</t>
  </si>
  <si>
    <t>Here's some typical mileages and fuel rates.</t>
  </si>
  <si>
    <t>Off peak E7 Electric</t>
  </si>
  <si>
    <t>kWh</t>
  </si>
  <si>
    <t>You would be silly to charge in the day at £0.16p kWh.</t>
  </si>
  <si>
    <t>Miles/kWh</t>
  </si>
  <si>
    <t>£/mile</t>
  </si>
  <si>
    <t>535d MPG (Real world)</t>
  </si>
  <si>
    <t>I'd argue it would be closer to 35.</t>
  </si>
  <si>
    <t>Diesel £/l</t>
  </si>
  <si>
    <t>Gal&gt;Litres</t>
  </si>
  <si>
    <t>Litres per mile</t>
  </si>
  <si>
    <t>Annual Mileage</t>
  </si>
  <si>
    <t>Diesel</t>
  </si>
  <si>
    <t>Pure EV</t>
  </si>
  <si>
    <t>An average driver on 12,000 miles a year will save</t>
  </si>
  <si>
    <t>Per year vs the diesel.</t>
  </si>
  <si>
    <t>Note I've not factored in free charging at public stations or crazy people who can't wait for economy 7 and charge in the day time. I guess they'll average each other out over a year.</t>
  </si>
  <si>
    <t>To recap, potential 40% Tax payer company director / freelancer gets:</t>
  </si>
  <si>
    <t>a car worth</t>
  </si>
  <si>
    <t>for an out of packet cost of</t>
  </si>
  <si>
    <t>This is money you would have ended up with in your pocket had you not bought the car and took higher rate dividends after corporation tax instead.</t>
  </si>
  <si>
    <t>Saving themselves</t>
  </si>
  <si>
    <t>EPIC! That's so high I must have done something wrong and need to check all the figures yet again! :-)</t>
  </si>
  <si>
    <t>Plus yearly savings (over 3 years) of:</t>
  </si>
  <si>
    <t>Vs 535d</t>
  </si>
  <si>
    <t>Avoidance of  high rate BiK Tax</t>
  </si>
  <si>
    <t>OR</t>
  </si>
  <si>
    <t>Fuel</t>
  </si>
  <si>
    <t>n/a</t>
  </si>
  <si>
    <t>Total saving over 3 years:</t>
  </si>
  <si>
    <t>New Net Cost to Buy (40% Tax Payer)</t>
  </si>
  <si>
    <t>You'd have to do a lot of really long trips to want to spend £5,000 per year on outgoings plus an extra £7k up front on the car purchase of a 535d.</t>
  </si>
  <si>
    <t>You'd have to be mad when buying a new car to not consider the Telsa if you like fast cars with practicality! And use some of the saving to rent a Mercedes Vito bus when you go on holiday to Italy.</t>
  </si>
  <si>
    <t>Conclusion the Tesla is a good car for company directors to buy.</t>
  </si>
  <si>
    <t>If you don't have enough cash at hand - you can still put down up to 40% deposit on BMW's PCP scheme and get the corporation tax relief on that.</t>
  </si>
  <si>
    <t>But I want to show the potential saving, so lets assume you managed to invoice enough on top of that to buy an i3 with lots of options,</t>
  </si>
  <si>
    <t>IF you spec up an i3-rex with metallic paint, dc charger, some tech packages and interior upgrades you'll probably come up with a figure around £38,000. You can get to over £40,000 if you try hard.</t>
  </si>
  <si>
    <t>Might sounds a lot - but do the same to a 120d and you'll hit £32,000! It's not just EVs that are expensive, it's BMWs clever use of options that are all over £500 and that they know you'll want ;-)</t>
  </si>
  <si>
    <t>1st thing is - you'll knock £5,000 off the list from the government grant. To be fair I'll assume you get £2,000 dealer or broker discount off the 120d.</t>
  </si>
  <si>
    <t>So to be able to buy the i3 you'll need to make (or have retained profit where you already paid corporation tax)</t>
  </si>
  <si>
    <t>So assuming you made profits of more than £33,000…. I've doen 2 examples 1 @ £35k profit and 1 @ £70k. It makes no difference - just to show you the CT Saving.</t>
  </si>
  <si>
    <t>i3</t>
  </si>
  <si>
    <t>120d</t>
  </si>
  <si>
    <t>So basically buying the car diverts £6,600 of your fees to BMW instead of HMRC. Or  £1,080 for a 120d.</t>
  </si>
  <si>
    <t>Lovely a £38,000 car for £26,400.</t>
  </si>
  <si>
    <t>I'm assuming there - you couldn't buy it from the basic £38,000 of salary + dividends as you need to eat, pay a mortgage etc.</t>
  </si>
  <si>
    <t>So you'd have to pay, £33,000</t>
  </si>
  <si>
    <t>However I don't want to double count savings… so I'm going to say you are basically sacrificing £26,400 of nett earnings, to get the car instead of having the cash.</t>
  </si>
  <si>
    <t>How much tax would you need to pay to get another £26,400 in you pocket?</t>
  </si>
  <si>
    <t>Really! We are getting a £38,000 car at as net cost to out pocket of just over £20k. Yikes! I need to go and check all my figures again!</t>
  </si>
  <si>
    <t>Unaspiringly it's called benefit in kind tax (BiK) However the news here for an i3 owner is good….</t>
  </si>
  <si>
    <t>BiK is calculated against the list price of the car - not after dealer discounts etc. i3 buyers will know there's no discount on offer anyway ;-)</t>
  </si>
  <si>
    <t>So we start with the £38,000 list price again. That's not so good, but …</t>
  </si>
  <si>
    <t>The i3 is in the special EV band, which is currently 0% but rising over the next few years. As a comparison I'll stick in an equivalent spec 120d ;-) (Minus the DC Charger option).</t>
  </si>
  <si>
    <t>5yr Total</t>
  </si>
  <si>
    <t>i3-Rex(8g/km) with options</t>
  </si>
  <si>
    <t>120d Auto(110g/km) with options</t>
  </si>
  <si>
    <t>That’s some BiK saving VS the 120d even if you were just on an employee company lease scheme - which uses the same calc.</t>
  </si>
  <si>
    <t>The saving are:</t>
  </si>
  <si>
    <t>I'm assuming most people allowed to specify a £30 grand car through work are higher rate tax payers. So will save over 5 grand in tax over 3 years.</t>
  </si>
  <si>
    <t>Next up… As you didn't take dividend money out of the company to buy the i3… and kept your dividends within the 20% rate… you made another saving.</t>
  </si>
  <si>
    <t>Cumulative</t>
  </si>
  <si>
    <t>Over 5 years.</t>
  </si>
  <si>
    <t>BMW i3</t>
  </si>
  <si>
    <t>0.25-0.3 miles</t>
  </si>
  <si>
    <t>Pessimistic rate (owners are reporting as low as 0.23-0.25 miles / KWh)</t>
  </si>
  <si>
    <t>Again worst case mpg - owners are reporting real world around 40mpg</t>
  </si>
  <si>
    <t>REX MPG</t>
  </si>
  <si>
    <t>120d MPG (Real world)</t>
  </si>
  <si>
    <t>Unleaded £/l</t>
  </si>
  <si>
    <t>What does 60% REX usage mean as it's at this point where the running costs (not purchase costs) weigh in favour of the diesel. Assuming you do 20,000 miles a year too.</t>
  </si>
  <si>
    <t>Range on electric</t>
  </si>
  <si>
    <t>60 % of that</t>
  </si>
  <si>
    <t>Total Trip</t>
  </si>
  <si>
    <t>So you need to be doing trips where your average single journey is 112 miles. Maybe if you commute daily from Birmingham To London that is you (train would better than a car anyway).</t>
  </si>
  <si>
    <t>An average driver on 12,000 miles a year who uses the REX about 20% of trips (those longer than 75ish miles in 1 stint) will save</t>
  </si>
  <si>
    <t>IF you can stick to charging.</t>
  </si>
  <si>
    <t>If you stick to only charging you can save this much per year. Enough to pay for a DC Charger over 2 years. But then you could skip the REX too ;-)</t>
  </si>
  <si>
    <t>BiK Tax</t>
  </si>
  <si>
    <t>or</t>
  </si>
  <si>
    <t>vs a 120d</t>
  </si>
  <si>
    <t>You'd have to do a lot of long trips to want to spend £2,528 more per year on outgoings plus an extra £12k up front on the car purchase of a 120d.</t>
  </si>
  <si>
    <t>Conclusion the i3 is a good car for company directors to buy. Especially if they have the use of another car for longer journeys.</t>
  </si>
  <si>
    <t>Compared to Buying Private and claiming miles...</t>
  </si>
  <si>
    <t>Mileage Payments</t>
  </si>
  <si>
    <t>down</t>
  </si>
  <si>
    <t>up</t>
  </si>
  <si>
    <t>Miles / week</t>
  </si>
  <si>
    <t>Miles / year</t>
  </si>
  <si>
    <t>business</t>
  </si>
  <si>
    <t>weekly</t>
  </si>
  <si>
    <t>lich&gt;tam</t>
  </si>
  <si>
    <t>fri</t>
  </si>
  <si>
    <t>weekend</t>
  </si>
  <si>
    <t>tam&gt;lich&gt;tam</t>
  </si>
  <si>
    <t>cubs</t>
  </si>
  <si>
    <t>rugby</t>
  </si>
  <si>
    <t>sunday</t>
  </si>
  <si>
    <t>Cost to run</t>
  </si>
  <si>
    <t>working weeks</t>
  </si>
  <si>
    <t>brum or other sometimes</t>
  </si>
  <si>
    <t>average</t>
  </si>
  <si>
    <t>non working</t>
  </si>
  <si>
    <t>mpg</t>
  </si>
  <si>
    <t>l&gt;g</t>
  </si>
  <si>
    <t>mpl</t>
  </si>
  <si>
    <t>33% REX</t>
  </si>
  <si>
    <t>l/m</t>
  </si>
  <si>
    <t>£/l</t>
  </si>
  <si>
    <t>£/m</t>
  </si>
  <si>
    <t>REX Saves about 1400 on fuel.</t>
  </si>
  <si>
    <t>half of commute is rex</t>
  </si>
  <si>
    <t>Miles on REX</t>
  </si>
  <si>
    <t>E7 elec rate</t>
  </si>
  <si>
    <t>Electric</t>
  </si>
  <si>
    <t>total business fuel cost</t>
  </si>
  <si>
    <t>Net claim from business</t>
  </si>
  <si>
    <t>No where near the tax reductions.</t>
  </si>
  <si>
    <t>Cost to buy.</t>
  </si>
  <si>
    <t>sacrifice the milage costs for for this many years and end up with a car.</t>
  </si>
  <si>
    <t>Also – you can only clain this for 2 years</t>
  </si>
  <si>
    <t>Also – can buy thru company HP, then sell on to self private and claim the miles.</t>
  </si>
  <si>
    <t>Heavy depreciation in company to 44% list</t>
  </si>
  <si>
    <t>Buy at £16.7k or swap for 2018 EV Spec.</t>
  </si>
  <si>
    <t>Don't have to pay BiK though... so</t>
  </si>
  <si>
    <t>Net Benefit</t>
  </si>
  <si>
    <t>Real cost to buy?</t>
  </si>
  <si>
    <t>Pricate sale so full list minus grant</t>
  </si>
  <si>
    <t>3 years milage alllowance</t>
  </si>
  <si>
    <t>End Cost</t>
  </si>
  <si>
    <t>Hmmn, About the same as long as mileage stays at 14000 a year 0 which is unlikely. Most have been 20-40 miles daily.</t>
  </si>
  <si>
    <t>Cov</t>
  </si>
  <si>
    <t>Brum</t>
  </si>
  <si>
    <t>Nott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</si>
</sst>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\£* #,##0.00_-;&quot;-£&quot;* #,##0.00_-;_-\£* \-??_-;_-@_-"/>
    <numFmt numFmtId="165" formatCode="\£#,##0;[Red]&quot;-£&quot;#,##0"/>
    <numFmt numFmtId="166" formatCode="_-\£* #,##0_-;&quot;-£&quot;* #,##0_-;_-\£* \-??_-;_-@_-"/>
    <numFmt numFmtId="167" formatCode="_-* #,##0.00_-;\-* #,##0.00_-;_-* \-??_-;_-@_-"/>
    <numFmt numFmtId="168" formatCode="_-* #,##0.000_-;\-* #,##0.000_-;_-* \-??_-;_-@_-"/>
    <numFmt numFmtId="169" formatCode="\£#,##0.00;[Red]&quot;-£&quot;#,##0.00"/>
    <numFmt numFmtId="170" formatCode="_-\£* #,##0.000_-;&quot;-£&quot;* #,##0.000_-;_-\£* \-??_-;_-@_-"/>
    <numFmt numFmtId="171" formatCode="_-\£* #,##0.000_-;&quot;-£&quot;* #,##0.000_-;_-\£* \-???_-;_-@_-"/>
    <numFmt numFmtId="172" formatCode="[$£-809]#,##0.00;[Red]\-[$£-809]#,##0.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7" fontId="5" fillId="0" borderId="0" applyBorder="0" applyProtection="0"/>
    <xf numFmtId="164" fontId="5" fillId="0" borderId="0" applyBorder="0" applyProtection="0"/>
    <xf numFmtId="9" fontId="5" fillId="0" borderId="0" applyBorder="0" applyProtection="0"/>
    <xf numFmtId="0" fontId="2" fillId="0" borderId="0" applyBorder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164" fontId="0" fillId="0" borderId="0" xfId="2" applyFont="1" applyBorder="1" applyAlignment="1" applyProtection="1"/>
    <xf numFmtId="3" fontId="0" fillId="0" borderId="0" xfId="0" applyNumberFormat="1"/>
    <xf numFmtId="0" fontId="2" fillId="0" borderId="0" xfId="4" applyFont="1" applyBorder="1" applyAlignment="1" applyProtection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2" applyNumberFormat="1" applyFont="1" applyBorder="1" applyAlignment="1" applyProtection="1"/>
    <xf numFmtId="168" fontId="0" fillId="0" borderId="0" xfId="1" applyNumberFormat="1" applyFont="1" applyBorder="1" applyAlignment="1" applyProtection="1"/>
    <xf numFmtId="166" fontId="0" fillId="0" borderId="0" xfId="0" applyNumberFormat="1"/>
    <xf numFmtId="165" fontId="0" fillId="0" borderId="0" xfId="0" applyNumberFormat="1" applyAlignment="1">
      <alignment horizontal="right"/>
    </xf>
    <xf numFmtId="166" fontId="1" fillId="0" borderId="0" xfId="0" applyNumberFormat="1" applyFont="1"/>
    <xf numFmtId="16" fontId="0" fillId="0" borderId="0" xfId="0" applyNumberFormat="1"/>
    <xf numFmtId="169" fontId="0" fillId="0" borderId="0" xfId="0" applyNumberFormat="1"/>
    <xf numFmtId="170" fontId="0" fillId="0" borderId="0" xfId="2" applyNumberFormat="1" applyFont="1" applyBorder="1" applyAlignment="1" applyProtection="1">
      <alignment horizontal="right" indent="1"/>
    </xf>
    <xf numFmtId="167" fontId="0" fillId="0" borderId="0" xfId="1" applyFont="1" applyBorder="1" applyAlignment="1" applyProtection="1"/>
    <xf numFmtId="0" fontId="1" fillId="0" borderId="0" xfId="0" applyFont="1" applyAlignment="1">
      <alignment horizontal="right"/>
    </xf>
    <xf numFmtId="9" fontId="1" fillId="0" borderId="0" xfId="3" applyFont="1" applyBorder="1" applyAlignment="1" applyProtection="1"/>
    <xf numFmtId="17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6" fontId="0" fillId="0" borderId="0" xfId="0" applyNumberFormat="1" applyFont="1"/>
    <xf numFmtId="164" fontId="3" fillId="0" borderId="0" xfId="0" applyNumberFormat="1" applyFont="1"/>
    <xf numFmtId="166" fontId="4" fillId="0" borderId="0" xfId="0" applyNumberFormat="1" applyFont="1"/>
    <xf numFmtId="172" fontId="0" fillId="0" borderId="0" xfId="0" applyNumberForma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jlaaccounting.co.uk/what-is-the-most-tax-efficient-remuneration-strategy-for-directors-in-the-20142015-tax-year/" TargetMode="External" /><Relationship Id="rId1" Type="http://schemas.openxmlformats.org/officeDocument/2006/relationships/hyperlink" Target="http://www.inniaccounts.co.uk/guide/contractor-salary-2014/" TargetMode="Externa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jlaaccounting.co.uk/what-is-the-most-tax-efficient-remuneration-strategy-for-directors-in-the-20142015-tax-year/" TargetMode="External" /><Relationship Id="rId1" Type="http://schemas.openxmlformats.org/officeDocument/2006/relationships/hyperlink" Target="http://www.inniaccounts.co.uk/guide/contractor-salary-2014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7"/>
  <sheetViews>
    <sheetView zoomScaleNormal="100" workbookViewId="0" xr3:uid="{AEA406A1-0E4B-5B11-9CD5-51D6E497D94C}"/>
  </sheetViews>
  <sheetFormatPr defaultRowHeight="15" x14ac:dyDescent="0.2"/>
  <cols>
    <col min="1" max="1" width="30.265625"/>
    <col min="2" max="2" width="14.796875"/>
    <col min="3" max="3" width="17.08203125"/>
    <col min="4" max="4" width="12.64453125"/>
    <col min="5" max="5" width="14.2578125"/>
    <col min="6" max="6" width="10.89453125"/>
    <col min="7" max="11" width="10.35546875"/>
  </cols>
  <sheetData>
    <row r="1" spans="1:9" x14ac:dyDescent="0.2">
      <c r="A1" s="1" t="s">
        <v>0</v>
      </c>
    </row>
    <row r="3" spans="1:9" x14ac:dyDescent="0.2">
      <c r="A3" t="s">
        <v>1</v>
      </c>
    </row>
    <row r="5" spans="1:9" x14ac:dyDescent="0.2">
      <c r="A5" t="s">
        <v>2</v>
      </c>
    </row>
    <row r="7" spans="1:9" x14ac:dyDescent="0.2">
      <c r="A7" t="s">
        <v>3</v>
      </c>
    </row>
    <row r="8" spans="1:9" x14ac:dyDescent="0.2">
      <c r="A8" t="s">
        <v>4</v>
      </c>
    </row>
    <row r="10" spans="1:9" x14ac:dyDescent="0.2">
      <c r="A10" t="s">
        <v>5</v>
      </c>
    </row>
    <row r="11" spans="1:9" x14ac:dyDescent="0.2">
      <c r="A11" t="s">
        <v>6</v>
      </c>
    </row>
    <row r="12" spans="1:9" x14ac:dyDescent="0.2">
      <c r="A12" t="s">
        <v>7</v>
      </c>
    </row>
    <row r="14" spans="1:9" x14ac:dyDescent="0.2">
      <c r="A14" t="s">
        <v>8</v>
      </c>
      <c r="F14" t="s">
        <v>9</v>
      </c>
    </row>
    <row r="15" spans="1:9" x14ac:dyDescent="0.2">
      <c r="B15" t="s">
        <v>10</v>
      </c>
      <c r="C15" t="s">
        <v>11</v>
      </c>
      <c r="H15" t="s">
        <v>12</v>
      </c>
      <c r="I15" t="s">
        <v>13</v>
      </c>
    </row>
    <row r="16" spans="1:9" x14ac:dyDescent="0.2">
      <c r="A16" s="2" t="s">
        <v>14</v>
      </c>
      <c r="B16" s="3">
        <v>7956</v>
      </c>
      <c r="C16" s="3">
        <f>B16/12</f>
        <v>663</v>
      </c>
      <c r="F16" t="s">
        <v>15</v>
      </c>
      <c r="H16">
        <v>9440</v>
      </c>
      <c r="I16">
        <v>10000</v>
      </c>
    </row>
    <row r="17" spans="1:13" x14ac:dyDescent="0.2">
      <c r="A17" s="2" t="s">
        <v>16</v>
      </c>
      <c r="B17" s="3">
        <v>30518</v>
      </c>
      <c r="C17" s="3">
        <f>B17/12</f>
        <v>2543.1666666666665</v>
      </c>
      <c r="F17" t="s">
        <v>17</v>
      </c>
      <c r="H17">
        <v>32010</v>
      </c>
      <c r="I17">
        <v>31865</v>
      </c>
    </row>
    <row r="18" spans="1:13" x14ac:dyDescent="0.2">
      <c r="A18" s="2" t="s">
        <v>18</v>
      </c>
      <c r="B18" s="3">
        <f>SUM(B16:B17)</f>
        <v>38474</v>
      </c>
      <c r="C18" s="3"/>
      <c r="F18" t="s">
        <v>19</v>
      </c>
      <c r="H18">
        <f>H16+H17</f>
        <v>41450</v>
      </c>
      <c r="I18">
        <f>I16+I17</f>
        <v>41865</v>
      </c>
    </row>
    <row r="20" spans="1:13" x14ac:dyDescent="0.2">
      <c r="A20" t="s">
        <v>20</v>
      </c>
    </row>
    <row r="21" spans="1:13" x14ac:dyDescent="0.2">
      <c r="A21" s="2" t="s">
        <v>21</v>
      </c>
      <c r="B21" s="3">
        <f>33909</f>
        <v>33909</v>
      </c>
      <c r="E21" s="3"/>
      <c r="M21" s="4"/>
    </row>
    <row r="22" spans="1:13" x14ac:dyDescent="0.2">
      <c r="A22" s="2" t="s">
        <v>14</v>
      </c>
      <c r="B22" s="3">
        <v>7956</v>
      </c>
      <c r="E22" s="3"/>
      <c r="M22" s="4"/>
    </row>
    <row r="23" spans="1:13" x14ac:dyDescent="0.2">
      <c r="A23" s="2" t="s">
        <v>22</v>
      </c>
      <c r="B23" s="3">
        <f>B21+B22</f>
        <v>41865</v>
      </c>
      <c r="E23" s="3"/>
      <c r="M23" s="4"/>
    </row>
    <row r="24" spans="1:13" x14ac:dyDescent="0.2">
      <c r="B24" t="s">
        <v>23</v>
      </c>
      <c r="E24" s="3"/>
    </row>
    <row r="25" spans="1:13" x14ac:dyDescent="0.2">
      <c r="E25" s="3"/>
    </row>
    <row r="26" spans="1:13" x14ac:dyDescent="0.2">
      <c r="A26" t="s">
        <v>24</v>
      </c>
      <c r="E26" s="3"/>
    </row>
    <row r="27" spans="1:13" x14ac:dyDescent="0.2">
      <c r="A27" t="s">
        <v>25</v>
      </c>
      <c r="E27" s="3"/>
    </row>
    <row r="28" spans="1:13" x14ac:dyDescent="0.2">
      <c r="A28" s="5" t="s">
        <v>26</v>
      </c>
    </row>
    <row r="29" spans="1:13" x14ac:dyDescent="0.2">
      <c r="A29" s="5"/>
    </row>
    <row r="30" spans="1:13" x14ac:dyDescent="0.2">
      <c r="A30" t="s">
        <v>27</v>
      </c>
    </row>
    <row r="31" spans="1:13" x14ac:dyDescent="0.2">
      <c r="A31" s="5" t="s">
        <v>28</v>
      </c>
    </row>
    <row r="33" spans="1:3" x14ac:dyDescent="0.2">
      <c r="A33" t="s">
        <v>29</v>
      </c>
    </row>
    <row r="34" spans="1:3" x14ac:dyDescent="0.2">
      <c r="A34" t="s">
        <v>30</v>
      </c>
    </row>
    <row r="35" spans="1:3" x14ac:dyDescent="0.2">
      <c r="A35" t="s">
        <v>31</v>
      </c>
    </row>
    <row r="36" spans="1:3" x14ac:dyDescent="0.2">
      <c r="A36" t="s">
        <v>32</v>
      </c>
    </row>
    <row r="37" spans="1:3" x14ac:dyDescent="0.2">
      <c r="A37" t="s">
        <v>33</v>
      </c>
    </row>
    <row r="38" spans="1:3" x14ac:dyDescent="0.2">
      <c r="A38" t="s">
        <v>34</v>
      </c>
    </row>
    <row r="40" spans="1:3" x14ac:dyDescent="0.2">
      <c r="A40" t="s">
        <v>35</v>
      </c>
    </row>
    <row r="41" spans="1:3" x14ac:dyDescent="0.2">
      <c r="A41" t="s">
        <v>36</v>
      </c>
    </row>
    <row r="43" spans="1:3" x14ac:dyDescent="0.2">
      <c r="A43" t="s">
        <v>37</v>
      </c>
    </row>
    <row r="44" spans="1:3" x14ac:dyDescent="0.2">
      <c r="B44" t="s">
        <v>38</v>
      </c>
      <c r="C44" t="s">
        <v>39</v>
      </c>
    </row>
    <row r="45" spans="1:3" x14ac:dyDescent="0.2">
      <c r="A45" t="s">
        <v>40</v>
      </c>
      <c r="B45" s="6">
        <v>52000</v>
      </c>
      <c r="C45" s="6">
        <v>48515</v>
      </c>
    </row>
    <row r="46" spans="1:3" x14ac:dyDescent="0.2">
      <c r="A46" t="s">
        <v>41</v>
      </c>
      <c r="B46" s="6">
        <v>5000</v>
      </c>
      <c r="C46" s="6">
        <v>2000</v>
      </c>
    </row>
    <row r="47" spans="1:3" x14ac:dyDescent="0.2">
      <c r="A47" t="s">
        <v>42</v>
      </c>
      <c r="B47" s="6">
        <f>B45-B46</f>
        <v>47000</v>
      </c>
      <c r="C47" s="6">
        <f>C45-C46</f>
        <v>46515</v>
      </c>
    </row>
    <row r="49" spans="1:4" x14ac:dyDescent="0.2">
      <c r="A49" t="s">
        <v>43</v>
      </c>
    </row>
    <row r="50" spans="1:4" x14ac:dyDescent="0.2">
      <c r="A50" t="s">
        <v>44</v>
      </c>
      <c r="B50" s="7">
        <f>B23</f>
        <v>41865</v>
      </c>
      <c r="C50" s="7">
        <f>B50</f>
        <v>41865</v>
      </c>
    </row>
    <row r="51" spans="1:4" x14ac:dyDescent="0.2">
      <c r="A51" t="s">
        <v>45</v>
      </c>
      <c r="B51" s="6">
        <f>B47</f>
        <v>47000</v>
      </c>
      <c r="C51" s="6">
        <f>C47</f>
        <v>46515</v>
      </c>
    </row>
    <row r="52" spans="1:4" x14ac:dyDescent="0.2">
      <c r="A52" t="s">
        <v>46</v>
      </c>
      <c r="B52" s="6">
        <f>B50+B51</f>
        <v>88865</v>
      </c>
      <c r="C52" s="7">
        <f>C50+C51</f>
        <v>88380</v>
      </c>
      <c r="D52" t="s">
        <v>47</v>
      </c>
    </row>
    <row r="54" spans="1:4" x14ac:dyDescent="0.2">
      <c r="A54" t="s">
        <v>48</v>
      </c>
    </row>
    <row r="55" spans="1:4" x14ac:dyDescent="0.2">
      <c r="A55" t="s">
        <v>49</v>
      </c>
    </row>
    <row r="56" spans="1:4" x14ac:dyDescent="0.2">
      <c r="A56" t="s">
        <v>50</v>
      </c>
    </row>
    <row r="58" spans="1:4" x14ac:dyDescent="0.2">
      <c r="A58" t="s">
        <v>51</v>
      </c>
    </row>
    <row r="60" spans="1:4" x14ac:dyDescent="0.2">
      <c r="A60" t="s">
        <v>52</v>
      </c>
    </row>
    <row r="61" spans="1:4" x14ac:dyDescent="0.2">
      <c r="A61" t="s">
        <v>53</v>
      </c>
    </row>
    <row r="62" spans="1:4" x14ac:dyDescent="0.2">
      <c r="A62" t="s">
        <v>54</v>
      </c>
    </row>
    <row r="63" spans="1:4" x14ac:dyDescent="0.2">
      <c r="C63" s="8"/>
    </row>
    <row r="64" spans="1:4" x14ac:dyDescent="0.2">
      <c r="A64" t="s">
        <v>55</v>
      </c>
      <c r="B64" s="9">
        <v>0.2</v>
      </c>
    </row>
    <row r="65" spans="1:6" x14ac:dyDescent="0.2">
      <c r="B65" s="9"/>
    </row>
    <row r="66" spans="1:6" x14ac:dyDescent="0.2">
      <c r="A66" t="s">
        <v>56</v>
      </c>
      <c r="B66" t="s">
        <v>57</v>
      </c>
      <c r="C66" s="6">
        <f>B47</f>
        <v>47000</v>
      </c>
      <c r="D66" s="6" t="s">
        <v>58</v>
      </c>
      <c r="E66" s="6">
        <f>C47</f>
        <v>46515</v>
      </c>
    </row>
    <row r="67" spans="1:6" x14ac:dyDescent="0.2">
      <c r="A67" t="s">
        <v>59</v>
      </c>
      <c r="B67" s="6">
        <v>50000</v>
      </c>
      <c r="C67" s="6">
        <v>70000</v>
      </c>
      <c r="D67" s="6">
        <f>B67</f>
        <v>50000</v>
      </c>
      <c r="E67" s="6">
        <f>C67</f>
        <v>70000</v>
      </c>
    </row>
    <row r="68" spans="1:6" x14ac:dyDescent="0.2">
      <c r="A68" t="s">
        <v>60</v>
      </c>
      <c r="B68" s="6">
        <f>B67*$B$64</f>
        <v>10000</v>
      </c>
      <c r="C68" s="6">
        <f>C67*$B$64</f>
        <v>14000</v>
      </c>
      <c r="D68" s="6">
        <f>B68</f>
        <v>10000</v>
      </c>
      <c r="E68" s="6">
        <f>C68</f>
        <v>14000</v>
      </c>
    </row>
    <row r="69" spans="1:6" x14ac:dyDescent="0.2">
      <c r="A69" s="8" t="s">
        <v>61</v>
      </c>
      <c r="B69" s="6">
        <f>B67-C66</f>
        <v>3000</v>
      </c>
      <c r="C69" s="6">
        <f>C67-C66</f>
        <v>23000</v>
      </c>
      <c r="D69" s="6">
        <f>D67-(E66*0)</f>
        <v>50000</v>
      </c>
      <c r="E69" s="6">
        <f>E67-(E66*0)</f>
        <v>70000</v>
      </c>
      <c r="F69" t="s">
        <v>62</v>
      </c>
    </row>
    <row r="70" spans="1:6" x14ac:dyDescent="0.2">
      <c r="A70" s="8" t="s">
        <v>63</v>
      </c>
      <c r="B70" s="6">
        <f>B69*$B$64</f>
        <v>600</v>
      </c>
      <c r="C70" s="6">
        <f>C69*$B$64</f>
        <v>4600</v>
      </c>
      <c r="D70" s="6">
        <f>D69*$B$64</f>
        <v>10000</v>
      </c>
      <c r="E70" s="6">
        <f>E69*$B$64</f>
        <v>14000</v>
      </c>
    </row>
    <row r="71" spans="1:6" x14ac:dyDescent="0.2">
      <c r="A71" t="s">
        <v>64</v>
      </c>
      <c r="B71" s="6">
        <f>B68-B70</f>
        <v>9400</v>
      </c>
      <c r="C71" s="6">
        <f>C68-C70</f>
        <v>9400</v>
      </c>
      <c r="D71" s="6">
        <f>D68-D70</f>
        <v>0</v>
      </c>
      <c r="E71" s="6">
        <f>E68-E70</f>
        <v>0</v>
      </c>
    </row>
    <row r="72" spans="1:6" x14ac:dyDescent="0.2">
      <c r="B72" s="6"/>
      <c r="C72" s="6"/>
    </row>
    <row r="73" spans="1:6" x14ac:dyDescent="0.2">
      <c r="A73" s="8"/>
      <c r="B73" s="6"/>
      <c r="C73" s="6"/>
    </row>
    <row r="74" spans="1:6" x14ac:dyDescent="0.2">
      <c r="A74" t="s">
        <v>65</v>
      </c>
    </row>
    <row r="75" spans="1:6" x14ac:dyDescent="0.2">
      <c r="A75" t="s">
        <v>66</v>
      </c>
    </row>
    <row r="76" spans="1:6" x14ac:dyDescent="0.2">
      <c r="A76" t="s">
        <v>67</v>
      </c>
    </row>
    <row r="78" spans="1:6" x14ac:dyDescent="0.2">
      <c r="A78" t="s">
        <v>68</v>
      </c>
      <c r="B78" t="s">
        <v>57</v>
      </c>
      <c r="C78" t="s">
        <v>58</v>
      </c>
    </row>
    <row r="79" spans="1:6" x14ac:dyDescent="0.2">
      <c r="A79" t="s">
        <v>69</v>
      </c>
      <c r="B79" s="6">
        <f>C66</f>
        <v>47000</v>
      </c>
      <c r="C79" s="6">
        <f>E66</f>
        <v>46515</v>
      </c>
    </row>
    <row r="80" spans="1:6" x14ac:dyDescent="0.2">
      <c r="A80" t="s">
        <v>70</v>
      </c>
      <c r="B80" s="6">
        <f>B71</f>
        <v>9400</v>
      </c>
      <c r="C80" s="6">
        <f>D71</f>
        <v>0</v>
      </c>
    </row>
    <row r="81" spans="1:5" x14ac:dyDescent="0.2">
      <c r="A81" t="s">
        <v>71</v>
      </c>
      <c r="B81" s="6">
        <f>B79-B80</f>
        <v>37600</v>
      </c>
      <c r="C81" s="6">
        <f>C79-C80</f>
        <v>46515</v>
      </c>
      <c r="E81" t="s">
        <v>72</v>
      </c>
    </row>
    <row r="83" spans="1:5" x14ac:dyDescent="0.2">
      <c r="A83" t="s">
        <v>73</v>
      </c>
    </row>
    <row r="85" spans="1:5" x14ac:dyDescent="0.2">
      <c r="A85" t="s">
        <v>74</v>
      </c>
    </row>
    <row r="86" spans="1:5" x14ac:dyDescent="0.2">
      <c r="A86" t="s">
        <v>75</v>
      </c>
    </row>
    <row r="88" spans="1:5" x14ac:dyDescent="0.2">
      <c r="A88" t="s">
        <v>76</v>
      </c>
    </row>
    <row r="89" spans="1:5" x14ac:dyDescent="0.2">
      <c r="A89" t="s">
        <v>77</v>
      </c>
    </row>
    <row r="90" spans="1:5" x14ac:dyDescent="0.2">
      <c r="A90" t="s">
        <v>78</v>
      </c>
    </row>
    <row r="91" spans="1:5" x14ac:dyDescent="0.2">
      <c r="A91" t="s">
        <v>79</v>
      </c>
    </row>
    <row r="92" spans="1:5" x14ac:dyDescent="0.2">
      <c r="A92" t="s">
        <v>80</v>
      </c>
    </row>
    <row r="93" spans="1:5" x14ac:dyDescent="0.2">
      <c r="A93" t="s">
        <v>81</v>
      </c>
    </row>
    <row r="94" spans="1:5" x14ac:dyDescent="0.2">
      <c r="A94" t="s">
        <v>82</v>
      </c>
    </row>
    <row r="97" spans="1:5" x14ac:dyDescent="0.2">
      <c r="B97" t="s">
        <v>83</v>
      </c>
      <c r="C97" t="s">
        <v>39</v>
      </c>
    </row>
    <row r="98" spans="1:5" x14ac:dyDescent="0.2">
      <c r="A98" t="s">
        <v>84</v>
      </c>
      <c r="B98" s="10">
        <f>B81</f>
        <v>37600</v>
      </c>
      <c r="C98" s="10">
        <f>C81</f>
        <v>46515</v>
      </c>
    </row>
    <row r="99" spans="1:5" x14ac:dyDescent="0.2">
      <c r="A99" t="s">
        <v>85</v>
      </c>
      <c r="B99" s="11">
        <v>1.2250000000000001</v>
      </c>
      <c r="C99" s="10"/>
      <c r="D99" s="10"/>
      <c r="E99" s="12"/>
    </row>
    <row r="100" spans="1:5" x14ac:dyDescent="0.2">
      <c r="A100" t="s">
        <v>86</v>
      </c>
      <c r="B100" s="10">
        <f>B98*B99</f>
        <v>46060</v>
      </c>
      <c r="C100" s="10">
        <f>C98*B99</f>
        <v>56980.875000000007</v>
      </c>
      <c r="D100" s="10"/>
      <c r="E100" s="12"/>
    </row>
    <row r="101" spans="1:5" x14ac:dyDescent="0.2">
      <c r="A101" t="s">
        <v>87</v>
      </c>
      <c r="B101" s="12">
        <f>B100-B98</f>
        <v>8460</v>
      </c>
      <c r="C101" s="10">
        <f>C100-C98</f>
        <v>10465.875000000007</v>
      </c>
      <c r="D101" s="10"/>
      <c r="E101" s="12"/>
    </row>
    <row r="103" spans="1:5" x14ac:dyDescent="0.2">
      <c r="A103" t="s">
        <v>88</v>
      </c>
      <c r="E103" s="12">
        <f>B101</f>
        <v>8460</v>
      </c>
    </row>
    <row r="105" spans="1:5" x14ac:dyDescent="0.2">
      <c r="A105" t="s">
        <v>89</v>
      </c>
      <c r="B105" t="s">
        <v>83</v>
      </c>
      <c r="C105" t="s">
        <v>58</v>
      </c>
    </row>
    <row r="106" spans="1:5" x14ac:dyDescent="0.2">
      <c r="A106" t="s">
        <v>40</v>
      </c>
      <c r="B106" s="6">
        <f>B45</f>
        <v>52000</v>
      </c>
      <c r="C106" s="6">
        <f>C45</f>
        <v>48515</v>
      </c>
    </row>
    <row r="107" spans="1:5" x14ac:dyDescent="0.2">
      <c r="A107" t="s">
        <v>90</v>
      </c>
      <c r="B107" s="6">
        <f>B46</f>
        <v>5000</v>
      </c>
      <c r="C107" s="6">
        <f>C46</f>
        <v>2000</v>
      </c>
    </row>
    <row r="108" spans="1:5" x14ac:dyDescent="0.2">
      <c r="A108" t="s">
        <v>91</v>
      </c>
      <c r="B108" s="6">
        <f>B47</f>
        <v>47000</v>
      </c>
      <c r="C108" s="6">
        <f>C47</f>
        <v>46515</v>
      </c>
    </row>
    <row r="109" spans="1:5" x14ac:dyDescent="0.2">
      <c r="A109" t="s">
        <v>92</v>
      </c>
      <c r="B109" s="10">
        <f>B81</f>
        <v>37600</v>
      </c>
      <c r="C109" s="13">
        <f>C81</f>
        <v>46515</v>
      </c>
    </row>
    <row r="110" spans="1:5" x14ac:dyDescent="0.2">
      <c r="A110" t="s">
        <v>93</v>
      </c>
      <c r="B110" s="10">
        <f>B101</f>
        <v>8460</v>
      </c>
      <c r="C110" s="10">
        <f>C101</f>
        <v>10465.875000000007</v>
      </c>
    </row>
    <row r="111" spans="1:5" x14ac:dyDescent="0.2">
      <c r="A111" t="s">
        <v>94</v>
      </c>
      <c r="B111" s="14">
        <f>B109-B110</f>
        <v>29140</v>
      </c>
      <c r="C111" s="14">
        <f>C108-C110</f>
        <v>36049.124999999993</v>
      </c>
    </row>
    <row r="112" spans="1:5" x14ac:dyDescent="0.2">
      <c r="A112" t="s">
        <v>95</v>
      </c>
      <c r="B112" s="14">
        <f>B45-B111</f>
        <v>22860</v>
      </c>
      <c r="C112" s="14">
        <f>C45-C111</f>
        <v>12465.875000000007</v>
      </c>
    </row>
    <row r="113" spans="1:9" x14ac:dyDescent="0.2">
      <c r="B113" s="12"/>
    </row>
    <row r="114" spans="1:9" x14ac:dyDescent="0.2">
      <c r="A114" t="s">
        <v>96</v>
      </c>
    </row>
    <row r="116" spans="1:9" x14ac:dyDescent="0.2">
      <c r="A116" t="s">
        <v>97</v>
      </c>
    </row>
    <row r="117" spans="1:9" x14ac:dyDescent="0.2">
      <c r="A117" t="s">
        <v>98</v>
      </c>
    </row>
    <row r="119" spans="1:9" x14ac:dyDescent="0.2">
      <c r="A119" t="s">
        <v>99</v>
      </c>
    </row>
    <row r="121" spans="1:9" x14ac:dyDescent="0.2">
      <c r="A121" t="s">
        <v>100</v>
      </c>
    </row>
    <row r="123" spans="1:9" x14ac:dyDescent="0.2">
      <c r="A123" t="s">
        <v>101</v>
      </c>
    </row>
    <row r="124" spans="1:9" x14ac:dyDescent="0.2">
      <c r="A124" t="s">
        <v>102</v>
      </c>
    </row>
    <row r="125" spans="1:9" x14ac:dyDescent="0.2">
      <c r="A125" t="s">
        <v>103</v>
      </c>
    </row>
    <row r="127" spans="1:9" x14ac:dyDescent="0.2">
      <c r="A127" t="s">
        <v>104</v>
      </c>
    </row>
    <row r="128" spans="1:9" x14ac:dyDescent="0.2">
      <c r="C128" t="s">
        <v>105</v>
      </c>
      <c r="D128" t="s">
        <v>106</v>
      </c>
      <c r="E128" t="s">
        <v>107</v>
      </c>
      <c r="F128" t="s">
        <v>108</v>
      </c>
      <c r="G128" t="s">
        <v>109</v>
      </c>
      <c r="H128" t="s">
        <v>110</v>
      </c>
      <c r="I128" t="s">
        <v>111</v>
      </c>
    </row>
    <row r="129" spans="1:9" x14ac:dyDescent="0.2">
      <c r="A129" t="s">
        <v>112</v>
      </c>
      <c r="B129" s="6">
        <f>B45</f>
        <v>52000</v>
      </c>
      <c r="C129" s="9">
        <v>0</v>
      </c>
      <c r="D129" s="9">
        <v>0.05</v>
      </c>
      <c r="E129" s="9">
        <v>7.0000000000000007E-2</v>
      </c>
      <c r="F129" s="9">
        <v>0.09</v>
      </c>
      <c r="G129" s="9">
        <v>0.13</v>
      </c>
    </row>
    <row r="130" spans="1:9" x14ac:dyDescent="0.2">
      <c r="A130" s="6" t="s">
        <v>113</v>
      </c>
      <c r="C130" s="3">
        <f>$B$129*C129</f>
        <v>0</v>
      </c>
      <c r="D130" s="10">
        <f>$B$129*D129</f>
        <v>2600</v>
      </c>
      <c r="E130" s="10">
        <f>$B$129*E129</f>
        <v>3640.0000000000005</v>
      </c>
      <c r="F130" s="10">
        <f>$B$129*F129</f>
        <v>4680</v>
      </c>
      <c r="G130" s="10">
        <f>$B$129*G129</f>
        <v>6760</v>
      </c>
    </row>
    <row r="131" spans="1:9" x14ac:dyDescent="0.2">
      <c r="A131" t="s">
        <v>114</v>
      </c>
      <c r="B131" s="9">
        <v>0.2</v>
      </c>
      <c r="C131" s="9">
        <f>C130*$B$131</f>
        <v>0</v>
      </c>
      <c r="D131" s="10">
        <f>D130*$B$131</f>
        <v>520</v>
      </c>
      <c r="E131" s="10">
        <f>E130*$B$131</f>
        <v>728.00000000000011</v>
      </c>
      <c r="F131" s="10">
        <f>F130*$B$131</f>
        <v>936</v>
      </c>
      <c r="G131" s="10">
        <f>G130*$B$131</f>
        <v>1352</v>
      </c>
      <c r="H131" s="10">
        <f>SUM(D131:F131)</f>
        <v>2184</v>
      </c>
      <c r="I131" s="12">
        <f>SUM(D131:G131)</f>
        <v>3536</v>
      </c>
    </row>
    <row r="132" spans="1:9" x14ac:dyDescent="0.2">
      <c r="A132" s="9" t="s">
        <v>115</v>
      </c>
      <c r="B132" s="9">
        <v>0.4</v>
      </c>
      <c r="C132" s="9">
        <f>C130*B132</f>
        <v>0</v>
      </c>
      <c r="D132" s="12">
        <f>D130*$B$132</f>
        <v>1040</v>
      </c>
      <c r="E132" s="12">
        <f>E130*$B$132</f>
        <v>1456.0000000000002</v>
      </c>
      <c r="F132" s="12">
        <f>F130*$B$132</f>
        <v>1872</v>
      </c>
      <c r="G132" s="12">
        <f>G130*$B$132</f>
        <v>2704</v>
      </c>
      <c r="H132" s="10">
        <f>SUM(D132:F132)</f>
        <v>4368</v>
      </c>
      <c r="I132" s="12">
        <f>SUM(D132:G132)</f>
        <v>7072</v>
      </c>
    </row>
    <row r="133" spans="1:9" x14ac:dyDescent="0.2">
      <c r="B133" s="6"/>
      <c r="C133" s="9"/>
    </row>
    <row r="134" spans="1:9" x14ac:dyDescent="0.2">
      <c r="A134" t="s">
        <v>116</v>
      </c>
      <c r="B134" s="6">
        <f>C45</f>
        <v>48515</v>
      </c>
      <c r="C134" s="9">
        <v>0.2</v>
      </c>
      <c r="D134" s="9">
        <v>0.23</v>
      </c>
      <c r="E134" s="9">
        <v>0.22</v>
      </c>
      <c r="F134" s="9">
        <v>0.25</v>
      </c>
      <c r="G134" s="9">
        <v>0.24</v>
      </c>
    </row>
    <row r="135" spans="1:9" x14ac:dyDescent="0.2">
      <c r="A135" s="6" t="s">
        <v>113</v>
      </c>
      <c r="C135" s="10">
        <f>$B$134*C134</f>
        <v>9703</v>
      </c>
      <c r="D135" s="10">
        <f>$B$134*D134</f>
        <v>11158.45</v>
      </c>
      <c r="E135" s="10">
        <f>$B$134*E134</f>
        <v>10673.3</v>
      </c>
      <c r="F135" s="10">
        <f>$B$134*F134</f>
        <v>12128.75</v>
      </c>
      <c r="G135" s="10">
        <f>$B$134*G134</f>
        <v>11643.6</v>
      </c>
    </row>
    <row r="136" spans="1:9" x14ac:dyDescent="0.2">
      <c r="A136" t="s">
        <v>114</v>
      </c>
      <c r="B136" s="9">
        <v>0.2</v>
      </c>
      <c r="C136" s="10">
        <f>C135*$B$136</f>
        <v>1940.6000000000001</v>
      </c>
      <c r="D136" s="10">
        <f>D135*$B$136</f>
        <v>2231.69</v>
      </c>
      <c r="E136" s="10">
        <f>E135*$B$136</f>
        <v>2134.66</v>
      </c>
      <c r="F136" s="10">
        <f>F135*$B$136</f>
        <v>2425.75</v>
      </c>
      <c r="G136" s="10">
        <f>G135*$B$136</f>
        <v>2328.7200000000003</v>
      </c>
      <c r="H136" s="10">
        <f>SUM(D136:F136)</f>
        <v>6792.1</v>
      </c>
      <c r="I136" s="12">
        <f>SUM(D136:G136)</f>
        <v>9120.82</v>
      </c>
    </row>
    <row r="137" spans="1:9" x14ac:dyDescent="0.2">
      <c r="A137" s="9" t="s">
        <v>115</v>
      </c>
      <c r="B137" s="9">
        <v>0.4</v>
      </c>
      <c r="C137" s="10">
        <f>C135*$B$137</f>
        <v>3881.2000000000003</v>
      </c>
      <c r="D137" s="10">
        <f>D135*$B$137</f>
        <v>4463.38</v>
      </c>
      <c r="E137" s="10">
        <f>E135*$B$137</f>
        <v>4269.32</v>
      </c>
      <c r="F137" s="10">
        <f>F135*$B$137</f>
        <v>4851.5</v>
      </c>
      <c r="G137" s="10">
        <f>G135*$B$137</f>
        <v>4657.4400000000005</v>
      </c>
      <c r="H137" s="10">
        <f>SUM(D137:F137)</f>
        <v>13584.2</v>
      </c>
      <c r="I137" s="12">
        <f>SUM(D137:G137)</f>
        <v>18241.64</v>
      </c>
    </row>
    <row r="139" spans="1:9" x14ac:dyDescent="0.2">
      <c r="A139" t="s">
        <v>117</v>
      </c>
      <c r="H139" s="12"/>
    </row>
    <row r="140" spans="1:9" x14ac:dyDescent="0.2">
      <c r="A140" t="s">
        <v>118</v>
      </c>
      <c r="B140" t="s">
        <v>119</v>
      </c>
      <c r="C140" t="s">
        <v>120</v>
      </c>
    </row>
    <row r="141" spans="1:9" x14ac:dyDescent="0.2">
      <c r="A141" t="s">
        <v>121</v>
      </c>
      <c r="B141" s="12">
        <f>H136-H131</f>
        <v>4608.1000000000004</v>
      </c>
      <c r="C141" s="7">
        <f>B141/3</f>
        <v>1536.0333333333335</v>
      </c>
    </row>
    <row r="142" spans="1:9" x14ac:dyDescent="0.2">
      <c r="A142" t="s">
        <v>122</v>
      </c>
      <c r="B142" s="12">
        <f>H137-H132</f>
        <v>9216.2000000000007</v>
      </c>
      <c r="C142" s="7">
        <f>B142/3</f>
        <v>3072.0666666666671</v>
      </c>
    </row>
    <row r="144" spans="1:9" x14ac:dyDescent="0.2">
      <c r="A144" t="s">
        <v>123</v>
      </c>
    </row>
    <row r="146" spans="1:10" x14ac:dyDescent="0.2">
      <c r="A146" t="s">
        <v>124</v>
      </c>
    </row>
    <row r="147" spans="1:10" x14ac:dyDescent="0.2">
      <c r="B147" t="s">
        <v>10</v>
      </c>
      <c r="C147" t="s">
        <v>125</v>
      </c>
    </row>
    <row r="148" spans="1:10" x14ac:dyDescent="0.2">
      <c r="A148" t="s">
        <v>126</v>
      </c>
      <c r="B148" s="12">
        <f>C148/3</f>
        <v>728</v>
      </c>
      <c r="C148" s="12">
        <f>H132-H131</f>
        <v>2184</v>
      </c>
      <c r="G148" s="12"/>
    </row>
    <row r="149" spans="1:10" x14ac:dyDescent="0.2">
      <c r="A149" t="s">
        <v>127</v>
      </c>
      <c r="B149" s="7">
        <f>C149/5</f>
        <v>707.2</v>
      </c>
      <c r="C149" s="12">
        <f>I132-I131</f>
        <v>3536</v>
      </c>
      <c r="G149" s="7"/>
    </row>
    <row r="150" spans="1:10" x14ac:dyDescent="0.2">
      <c r="A150" t="s">
        <v>128</v>
      </c>
    </row>
    <row r="152" spans="1:10" x14ac:dyDescent="0.2">
      <c r="A152" t="s">
        <v>129</v>
      </c>
    </row>
    <row r="154" spans="1:10" x14ac:dyDescent="0.2">
      <c r="A154" t="s">
        <v>130</v>
      </c>
    </row>
    <row r="155" spans="1:10" x14ac:dyDescent="0.2">
      <c r="A155" t="s">
        <v>131</v>
      </c>
    </row>
    <row r="156" spans="1:10" x14ac:dyDescent="0.2">
      <c r="A156" t="s">
        <v>132</v>
      </c>
    </row>
    <row r="158" spans="1:10" x14ac:dyDescent="0.2">
      <c r="A158" t="s">
        <v>133</v>
      </c>
    </row>
    <row r="159" spans="1:10" x14ac:dyDescent="0.2">
      <c r="A159" t="s">
        <v>134</v>
      </c>
      <c r="B159" t="s">
        <v>135</v>
      </c>
      <c r="J159" s="15"/>
    </row>
    <row r="160" spans="1:10" x14ac:dyDescent="0.2">
      <c r="A160" t="s">
        <v>136</v>
      </c>
      <c r="B160" t="s">
        <v>137</v>
      </c>
    </row>
    <row r="161" spans="1:4" x14ac:dyDescent="0.2">
      <c r="A161" t="s">
        <v>138</v>
      </c>
      <c r="B161" t="s">
        <v>139</v>
      </c>
    </row>
    <row r="162" spans="1:4" x14ac:dyDescent="0.2">
      <c r="A162" t="s">
        <v>140</v>
      </c>
      <c r="B162" t="s">
        <v>141</v>
      </c>
    </row>
    <row r="163" spans="1:4" x14ac:dyDescent="0.2">
      <c r="A163" t="s">
        <v>142</v>
      </c>
      <c r="B163" t="s">
        <v>143</v>
      </c>
    </row>
    <row r="164" spans="1:4" x14ac:dyDescent="0.2">
      <c r="A164" t="s">
        <v>144</v>
      </c>
      <c r="B164" t="s">
        <v>145</v>
      </c>
    </row>
    <row r="165" spans="1:4" x14ac:dyDescent="0.2">
      <c r="A165" t="s">
        <v>146</v>
      </c>
      <c r="B165" t="s">
        <v>147</v>
      </c>
    </row>
    <row r="167" spans="1:4" x14ac:dyDescent="0.2">
      <c r="A167" t="s">
        <v>148</v>
      </c>
    </row>
    <row r="168" spans="1:4" x14ac:dyDescent="0.2">
      <c r="A168" t="s">
        <v>149</v>
      </c>
      <c r="B168" s="16">
        <v>0.08</v>
      </c>
      <c r="C168" t="s">
        <v>150</v>
      </c>
      <c r="D168" t="s">
        <v>151</v>
      </c>
    </row>
    <row r="169" spans="1:4" x14ac:dyDescent="0.2">
      <c r="A169" t="s">
        <v>152</v>
      </c>
      <c r="B169">
        <v>0.33</v>
      </c>
    </row>
    <row r="170" spans="1:4" x14ac:dyDescent="0.2">
      <c r="A170" t="s">
        <v>153</v>
      </c>
      <c r="B170" s="17">
        <f>B168*B169</f>
        <v>2.6400000000000003E-2</v>
      </c>
    </row>
    <row r="171" spans="1:4" x14ac:dyDescent="0.2">
      <c r="B171" s="17"/>
    </row>
    <row r="172" spans="1:4" x14ac:dyDescent="0.2">
      <c r="B172" s="17"/>
    </row>
    <row r="173" spans="1:4" x14ac:dyDescent="0.2">
      <c r="A173" t="s">
        <v>154</v>
      </c>
      <c r="B173">
        <v>40</v>
      </c>
      <c r="C173" t="s">
        <v>155</v>
      </c>
    </row>
    <row r="174" spans="1:4" x14ac:dyDescent="0.2">
      <c r="A174" t="s">
        <v>156</v>
      </c>
      <c r="B174" s="16">
        <v>1.36</v>
      </c>
    </row>
    <row r="175" spans="1:4" x14ac:dyDescent="0.2">
      <c r="A175" t="s">
        <v>157</v>
      </c>
      <c r="B175">
        <v>4.5</v>
      </c>
    </row>
    <row r="176" spans="1:4" x14ac:dyDescent="0.2">
      <c r="A176" t="s">
        <v>158</v>
      </c>
      <c r="B176" s="18">
        <f>1/(B173/B175)</f>
        <v>0.11249999999999999</v>
      </c>
    </row>
    <row r="177" spans="1:10" x14ac:dyDescent="0.2">
      <c r="A177" t="s">
        <v>153</v>
      </c>
      <c r="B177" s="3">
        <f>B174*B176</f>
        <v>0.153</v>
      </c>
    </row>
    <row r="179" spans="1:10" x14ac:dyDescent="0.2">
      <c r="A179" s="19" t="s">
        <v>159</v>
      </c>
      <c r="B179" s="1" t="s">
        <v>160</v>
      </c>
      <c r="C179" s="1" t="s">
        <v>161</v>
      </c>
      <c r="D179" s="20"/>
      <c r="E179" s="20"/>
      <c r="F179" s="20"/>
      <c r="G179" s="20"/>
      <c r="H179" s="20"/>
      <c r="I179" s="20"/>
      <c r="J179" s="20"/>
    </row>
    <row r="180" spans="1:10" x14ac:dyDescent="0.2">
      <c r="A180">
        <v>5000</v>
      </c>
      <c r="B180" s="21">
        <f>$B$177*A180</f>
        <v>765</v>
      </c>
      <c r="C180" s="21">
        <f>$B$170*A180</f>
        <v>132.00000000000003</v>
      </c>
      <c r="D180" s="7"/>
      <c r="E180" s="7"/>
      <c r="F180" s="7"/>
      <c r="G180" s="7"/>
      <c r="H180" s="7"/>
      <c r="I180" s="7"/>
      <c r="J180" s="22"/>
    </row>
    <row r="181" spans="1:10" x14ac:dyDescent="0.2">
      <c r="A181">
        <v>6000</v>
      </c>
      <c r="B181" s="21">
        <f>$B$177*A181</f>
        <v>918</v>
      </c>
      <c r="C181" s="21">
        <f>$B$170*A181</f>
        <v>158.40000000000003</v>
      </c>
      <c r="D181" s="7"/>
      <c r="E181" s="7"/>
      <c r="F181" s="7"/>
      <c r="G181" s="7"/>
      <c r="H181" s="7"/>
      <c r="I181" s="7"/>
      <c r="J181" s="22"/>
    </row>
    <row r="182" spans="1:10" x14ac:dyDescent="0.2">
      <c r="A182">
        <v>7000</v>
      </c>
      <c r="B182" s="21">
        <f>$B$177*A182</f>
        <v>1071</v>
      </c>
      <c r="C182" s="21">
        <f>$B$170*A182</f>
        <v>184.8</v>
      </c>
      <c r="D182" s="7"/>
      <c r="E182" s="7"/>
      <c r="F182" s="7"/>
      <c r="G182" s="7"/>
      <c r="H182" s="7"/>
      <c r="I182" s="7"/>
      <c r="J182" s="22"/>
    </row>
    <row r="183" spans="1:10" x14ac:dyDescent="0.2">
      <c r="A183">
        <v>8000</v>
      </c>
      <c r="B183" s="21">
        <f>$B$177*A183</f>
        <v>1224</v>
      </c>
      <c r="C183" s="21">
        <f>$B$170*A183</f>
        <v>211.20000000000002</v>
      </c>
      <c r="D183" s="7"/>
      <c r="E183" s="7"/>
      <c r="F183" s="7"/>
      <c r="G183" s="7"/>
      <c r="H183" s="7"/>
      <c r="I183" s="7"/>
      <c r="J183" s="22"/>
    </row>
    <row r="184" spans="1:10" x14ac:dyDescent="0.2">
      <c r="A184">
        <v>9000</v>
      </c>
      <c r="B184" s="21">
        <f>$B$177*A184</f>
        <v>1377</v>
      </c>
      <c r="C184" s="21">
        <f>$B$170*A184</f>
        <v>237.60000000000002</v>
      </c>
      <c r="D184" s="7"/>
      <c r="E184" s="7"/>
      <c r="F184" s="7"/>
      <c r="G184" s="7"/>
      <c r="H184" s="7"/>
      <c r="I184" s="7"/>
      <c r="J184" s="22"/>
    </row>
    <row r="185" spans="1:10" x14ac:dyDescent="0.2">
      <c r="A185">
        <v>10000</v>
      </c>
      <c r="B185" s="21">
        <f>$B$177*A185</f>
        <v>1530</v>
      </c>
      <c r="C185" s="21">
        <f>$B$170*A185</f>
        <v>264.00000000000006</v>
      </c>
      <c r="D185" s="7"/>
      <c r="E185" s="7"/>
      <c r="F185" s="7"/>
      <c r="G185" s="7"/>
      <c r="H185" s="7"/>
      <c r="I185" s="7"/>
      <c r="J185" s="22"/>
    </row>
    <row r="186" spans="1:10" x14ac:dyDescent="0.2">
      <c r="A186">
        <v>11000</v>
      </c>
      <c r="B186" s="21">
        <f>$B$177*A186</f>
        <v>1683</v>
      </c>
      <c r="C186" s="21">
        <f>$B$170*A186</f>
        <v>290.40000000000003</v>
      </c>
      <c r="D186" s="7"/>
      <c r="E186" s="23"/>
      <c r="F186" s="7"/>
      <c r="G186" s="7"/>
      <c r="H186" s="7"/>
      <c r="I186" s="7"/>
      <c r="J186" s="22"/>
    </row>
    <row r="187" spans="1:10" x14ac:dyDescent="0.2">
      <c r="A187">
        <v>12000</v>
      </c>
      <c r="B187" s="21">
        <f>$B$177*A187</f>
        <v>1836</v>
      </c>
      <c r="C187" s="21">
        <f>$B$170*A187</f>
        <v>316.80000000000007</v>
      </c>
      <c r="D187" s="7"/>
      <c r="E187" s="22"/>
      <c r="F187" s="7"/>
      <c r="G187" s="7"/>
      <c r="H187" s="7"/>
      <c r="I187" s="7"/>
      <c r="J187" s="22"/>
    </row>
    <row r="188" spans="1:10" x14ac:dyDescent="0.2">
      <c r="A188">
        <v>13000</v>
      </c>
      <c r="B188" s="21">
        <f>$B$177*A188</f>
        <v>1989</v>
      </c>
      <c r="C188" s="21">
        <f>$B$170*A188</f>
        <v>343.20000000000005</v>
      </c>
      <c r="D188" s="7"/>
      <c r="E188" s="7"/>
      <c r="F188" s="7"/>
      <c r="G188" s="7"/>
      <c r="H188" s="7"/>
      <c r="I188" s="7"/>
      <c r="J188" s="22"/>
    </row>
    <row r="189" spans="1:10" x14ac:dyDescent="0.2">
      <c r="A189">
        <v>14000</v>
      </c>
      <c r="B189" s="21">
        <f>$B$177*A189</f>
        <v>2142</v>
      </c>
      <c r="C189" s="21">
        <f>$B$170*A189</f>
        <v>369.6</v>
      </c>
      <c r="D189" s="7"/>
      <c r="E189" s="7"/>
      <c r="F189" s="7"/>
      <c r="G189" s="7"/>
      <c r="H189" s="7"/>
      <c r="I189" s="7"/>
      <c r="J189" s="22"/>
    </row>
    <row r="190" spans="1:10" x14ac:dyDescent="0.2">
      <c r="A190">
        <v>15000</v>
      </c>
      <c r="B190" s="21">
        <f>$B$177*A190</f>
        <v>2295</v>
      </c>
      <c r="C190" s="21">
        <f>$B$170*A190</f>
        <v>396.00000000000006</v>
      </c>
      <c r="D190" s="7"/>
      <c r="E190" s="7"/>
      <c r="F190" s="7"/>
      <c r="G190" s="7"/>
      <c r="H190" s="7"/>
      <c r="I190" s="7"/>
      <c r="J190" s="22"/>
    </row>
    <row r="191" spans="1:10" x14ac:dyDescent="0.2">
      <c r="A191">
        <v>16000</v>
      </c>
      <c r="B191" s="21">
        <f>$B$177*A191</f>
        <v>2448</v>
      </c>
      <c r="C191" s="21">
        <f>$B$170*A191</f>
        <v>422.40000000000003</v>
      </c>
      <c r="D191" s="7"/>
      <c r="E191" s="7"/>
      <c r="F191" s="7"/>
      <c r="G191" s="7"/>
      <c r="H191" s="7"/>
      <c r="I191" s="7"/>
      <c r="J191" s="22"/>
    </row>
    <row r="192" spans="1:10" x14ac:dyDescent="0.2">
      <c r="A192">
        <v>17000</v>
      </c>
      <c r="B192" s="21">
        <f>$B$177*A192</f>
        <v>2601</v>
      </c>
      <c r="C192" s="21">
        <f>$B$170*A192</f>
        <v>448.80000000000007</v>
      </c>
      <c r="D192" s="7"/>
      <c r="E192" s="7"/>
      <c r="F192" s="7"/>
      <c r="G192" s="7"/>
      <c r="H192" s="7"/>
      <c r="I192" s="7"/>
      <c r="J192" s="22"/>
    </row>
    <row r="193" spans="1:10" x14ac:dyDescent="0.2">
      <c r="A193">
        <v>18000</v>
      </c>
      <c r="B193" s="21">
        <f>$B$177*A193</f>
        <v>2754</v>
      </c>
      <c r="C193" s="21">
        <f>$B$170*A193</f>
        <v>475.20000000000005</v>
      </c>
      <c r="D193" s="7"/>
      <c r="E193" s="7"/>
      <c r="F193" s="7"/>
      <c r="G193" s="7"/>
      <c r="H193" s="7"/>
      <c r="I193" s="7"/>
      <c r="J193" s="22"/>
    </row>
    <row r="194" spans="1:10" x14ac:dyDescent="0.2">
      <c r="A194">
        <v>19000</v>
      </c>
      <c r="B194" s="21">
        <f>$B$177*A194</f>
        <v>2907</v>
      </c>
      <c r="C194" s="21">
        <f>$B$170*A194</f>
        <v>501.60000000000008</v>
      </c>
      <c r="D194" s="7"/>
      <c r="E194" s="7"/>
      <c r="F194" s="7"/>
      <c r="G194" s="7"/>
      <c r="H194" s="7"/>
      <c r="I194" s="7"/>
      <c r="J194" s="22"/>
    </row>
    <row r="195" spans="1:10" x14ac:dyDescent="0.2">
      <c r="A195">
        <v>20000</v>
      </c>
      <c r="B195" s="21">
        <f>$B$177*A195</f>
        <v>3060</v>
      </c>
      <c r="C195" s="21">
        <f>$B$170*A195</f>
        <v>528.00000000000011</v>
      </c>
      <c r="D195" s="7"/>
      <c r="E195" s="7"/>
      <c r="F195" s="7"/>
      <c r="G195" s="7"/>
      <c r="H195" s="7"/>
      <c r="I195" s="22"/>
      <c r="J195" s="22"/>
    </row>
    <row r="197" spans="1:10" x14ac:dyDescent="0.2">
      <c r="A197" t="s">
        <v>162</v>
      </c>
    </row>
    <row r="198" spans="1:10" x14ac:dyDescent="0.2">
      <c r="B198" s="21">
        <f>B187-C187</f>
        <v>1519.1999999999998</v>
      </c>
      <c r="C198" t="s">
        <v>163</v>
      </c>
    </row>
    <row r="199" spans="1:10" x14ac:dyDescent="0.2">
      <c r="B199" s="21"/>
    </row>
    <row r="200" spans="1:10" x14ac:dyDescent="0.2">
      <c r="A200" t="s">
        <v>164</v>
      </c>
    </row>
    <row r="202" spans="1:10" x14ac:dyDescent="0.2">
      <c r="A202" t="s">
        <v>165</v>
      </c>
    </row>
    <row r="203" spans="1:10" x14ac:dyDescent="0.2">
      <c r="A203" t="s">
        <v>166</v>
      </c>
      <c r="C203" s="10">
        <f>B45</f>
        <v>52000</v>
      </c>
    </row>
    <row r="204" spans="1:10" x14ac:dyDescent="0.2">
      <c r="A204" t="s">
        <v>167</v>
      </c>
      <c r="C204" s="14">
        <f>B111</f>
        <v>29140</v>
      </c>
      <c r="D204" t="s">
        <v>168</v>
      </c>
    </row>
    <row r="205" spans="1:10" x14ac:dyDescent="0.2">
      <c r="A205" t="s">
        <v>169</v>
      </c>
      <c r="C205" s="24">
        <f>C203-C204</f>
        <v>22860</v>
      </c>
      <c r="D205" t="s">
        <v>170</v>
      </c>
    </row>
    <row r="207" spans="1:10" x14ac:dyDescent="0.2">
      <c r="A207" t="s">
        <v>171</v>
      </c>
      <c r="E207" t="s">
        <v>172</v>
      </c>
    </row>
    <row r="208" spans="1:10" x14ac:dyDescent="0.2">
      <c r="A208" t="s">
        <v>173</v>
      </c>
      <c r="C208" s="3">
        <f>C148</f>
        <v>2184</v>
      </c>
      <c r="D208" t="s">
        <v>174</v>
      </c>
      <c r="E208" s="12">
        <f>B142</f>
        <v>9216.2000000000007</v>
      </c>
    </row>
    <row r="209" spans="1:5" x14ac:dyDescent="0.2">
      <c r="A209" t="s">
        <v>175</v>
      </c>
      <c r="C209" t="s">
        <v>176</v>
      </c>
      <c r="E209" s="21">
        <f>B198*3</f>
        <v>4557.5999999999995</v>
      </c>
    </row>
    <row r="210" spans="1:5" x14ac:dyDescent="0.2">
      <c r="A210" t="s">
        <v>177</v>
      </c>
      <c r="C210" s="7">
        <f>C205+C208</f>
        <v>25044</v>
      </c>
      <c r="E210" s="12">
        <f>SUM(E208:E209)+C205</f>
        <v>36633.800000000003</v>
      </c>
    </row>
    <row r="211" spans="1:5" ht="23.25" x14ac:dyDescent="0.3">
      <c r="A211" t="s">
        <v>178</v>
      </c>
      <c r="B211" s="7"/>
      <c r="C211" s="25">
        <f>C203-C210</f>
        <v>26956</v>
      </c>
      <c r="E211" s="26">
        <f>C203-E210</f>
        <v>15366.199999999997</v>
      </c>
    </row>
    <row r="212" spans="1:5" x14ac:dyDescent="0.2">
      <c r="B212" s="7"/>
    </row>
    <row r="213" spans="1:5" x14ac:dyDescent="0.2">
      <c r="A213" t="s">
        <v>179</v>
      </c>
    </row>
    <row r="215" spans="1:5" x14ac:dyDescent="0.2">
      <c r="A215" t="s">
        <v>180</v>
      </c>
    </row>
    <row r="217" spans="1:5" x14ac:dyDescent="0.2">
      <c r="A217" t="s">
        <v>181</v>
      </c>
    </row>
  </sheetData>
  <hyperlinks>
    <hyperlink ref="A28" r:id="rId1" xr:uid="{00000000-0004-0000-0000-000000000000}"/>
    <hyperlink ref="A31" r:id="rId2" xr:uid="{00000000-0004-0000-0000-000001000000}"/>
  </hyperlinks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3"/>
  <sheetViews>
    <sheetView tabSelected="1" zoomScaleNormal="100" workbookViewId="0" xr3:uid="{958C4451-9541-5A59-BF78-D2F731DF1C81}">
      <selection activeCell="E150" sqref="E150:E172"/>
    </sheetView>
  </sheetViews>
  <sheetFormatPr defaultRowHeight="15" x14ac:dyDescent="0.2"/>
  <cols>
    <col min="1" max="1" width="30.265625"/>
    <col min="2" max="2" width="11.56640625"/>
    <col min="3" max="3" width="17.08203125"/>
    <col min="4" max="4" width="12.64453125"/>
    <col min="5" max="5" width="11.43359375"/>
    <col min="6" max="6" width="10.89453125"/>
    <col min="7" max="11" width="10.35546875"/>
  </cols>
  <sheetData>
    <row r="1" spans="1:9" x14ac:dyDescent="0.2">
      <c r="A1" s="1" t="s">
        <v>0</v>
      </c>
    </row>
    <row r="3" spans="1:9" x14ac:dyDescent="0.2">
      <c r="A3" t="s">
        <v>1</v>
      </c>
    </row>
    <row r="5" spans="1:9" x14ac:dyDescent="0.2">
      <c r="A5" t="s">
        <v>2</v>
      </c>
    </row>
    <row r="7" spans="1:9" x14ac:dyDescent="0.2">
      <c r="A7" t="s">
        <v>3</v>
      </c>
    </row>
    <row r="8" spans="1:9" x14ac:dyDescent="0.2">
      <c r="A8" t="s">
        <v>4</v>
      </c>
    </row>
    <row r="10" spans="1:9" x14ac:dyDescent="0.2">
      <c r="A10" t="s">
        <v>5</v>
      </c>
    </row>
    <row r="11" spans="1:9" x14ac:dyDescent="0.2">
      <c r="A11" t="s">
        <v>6</v>
      </c>
    </row>
    <row r="12" spans="1:9" x14ac:dyDescent="0.2">
      <c r="A12" t="s">
        <v>7</v>
      </c>
    </row>
    <row r="14" spans="1:9" x14ac:dyDescent="0.2">
      <c r="A14" t="s">
        <v>8</v>
      </c>
      <c r="F14" t="s">
        <v>9</v>
      </c>
    </row>
    <row r="15" spans="1:9" x14ac:dyDescent="0.2">
      <c r="B15" t="s">
        <v>10</v>
      </c>
      <c r="C15" t="s">
        <v>11</v>
      </c>
      <c r="H15" t="s">
        <v>12</v>
      </c>
      <c r="I15" t="s">
        <v>13</v>
      </c>
    </row>
    <row r="16" spans="1:9" x14ac:dyDescent="0.2">
      <c r="A16" s="2" t="s">
        <v>14</v>
      </c>
      <c r="B16" s="3">
        <v>7956</v>
      </c>
      <c r="C16" s="3">
        <f>B16/12</f>
        <v>663</v>
      </c>
      <c r="F16" t="s">
        <v>15</v>
      </c>
      <c r="H16">
        <v>9440</v>
      </c>
      <c r="I16">
        <v>10000</v>
      </c>
    </row>
    <row r="17" spans="1:13" x14ac:dyDescent="0.2">
      <c r="A17" s="2" t="s">
        <v>16</v>
      </c>
      <c r="B17" s="3">
        <v>30518</v>
      </c>
      <c r="C17" s="3">
        <f>B17/12</f>
        <v>2543.1666666666665</v>
      </c>
      <c r="F17" t="s">
        <v>17</v>
      </c>
      <c r="H17">
        <v>32010</v>
      </c>
      <c r="I17">
        <v>31865</v>
      </c>
    </row>
    <row r="18" spans="1:13" x14ac:dyDescent="0.2">
      <c r="A18" s="2" t="s">
        <v>18</v>
      </c>
      <c r="B18" s="3">
        <f>SUM(B16:B17)</f>
        <v>38474</v>
      </c>
      <c r="C18" s="3"/>
      <c r="F18" t="s">
        <v>19</v>
      </c>
      <c r="H18">
        <f>H16+H17</f>
        <v>41450</v>
      </c>
      <c r="I18">
        <f>I16+I17</f>
        <v>41865</v>
      </c>
    </row>
    <row r="20" spans="1:13" x14ac:dyDescent="0.2">
      <c r="A20" t="s">
        <v>20</v>
      </c>
    </row>
    <row r="21" spans="1:13" x14ac:dyDescent="0.2">
      <c r="A21" s="2" t="s">
        <v>21</v>
      </c>
      <c r="B21" s="3">
        <f>33909</f>
        <v>33909</v>
      </c>
      <c r="E21" s="3"/>
      <c r="M21" s="4"/>
    </row>
    <row r="22" spans="1:13" x14ac:dyDescent="0.2">
      <c r="A22" s="2" t="s">
        <v>14</v>
      </c>
      <c r="B22" s="3">
        <v>7956</v>
      </c>
      <c r="E22" s="3"/>
      <c r="M22" s="4"/>
    </row>
    <row r="23" spans="1:13" x14ac:dyDescent="0.2">
      <c r="A23" s="2" t="s">
        <v>22</v>
      </c>
      <c r="B23" s="3">
        <f>B21+B22</f>
        <v>41865</v>
      </c>
      <c r="E23" s="3"/>
      <c r="M23" s="4"/>
    </row>
    <row r="24" spans="1:13" x14ac:dyDescent="0.2">
      <c r="B24" t="s">
        <v>23</v>
      </c>
      <c r="E24" s="3"/>
    </row>
    <row r="25" spans="1:13" x14ac:dyDescent="0.2">
      <c r="E25" s="3"/>
    </row>
    <row r="26" spans="1:13" x14ac:dyDescent="0.2">
      <c r="A26" t="s">
        <v>24</v>
      </c>
      <c r="E26" s="3"/>
    </row>
    <row r="27" spans="1:13" x14ac:dyDescent="0.2">
      <c r="A27" t="s">
        <v>25</v>
      </c>
      <c r="E27" s="3"/>
    </row>
    <row r="28" spans="1:13" x14ac:dyDescent="0.2">
      <c r="A28" s="5" t="s">
        <v>26</v>
      </c>
    </row>
    <row r="29" spans="1:13" x14ac:dyDescent="0.2">
      <c r="A29" s="5"/>
    </row>
    <row r="30" spans="1:13" x14ac:dyDescent="0.2">
      <c r="A30" t="s">
        <v>27</v>
      </c>
    </row>
    <row r="31" spans="1:13" x14ac:dyDescent="0.2">
      <c r="A31" s="5" t="s">
        <v>28</v>
      </c>
    </row>
    <row r="33" spans="1:3" x14ac:dyDescent="0.2">
      <c r="A33" t="s">
        <v>29</v>
      </c>
    </row>
    <row r="34" spans="1:3" x14ac:dyDescent="0.2">
      <c r="A34" t="s">
        <v>182</v>
      </c>
    </row>
    <row r="35" spans="1:3" x14ac:dyDescent="0.2">
      <c r="A35" t="s">
        <v>183</v>
      </c>
    </row>
    <row r="36" spans="1:3" x14ac:dyDescent="0.2">
      <c r="A36" t="s">
        <v>32</v>
      </c>
    </row>
    <row r="37" spans="1:3" x14ac:dyDescent="0.2">
      <c r="A37" t="s">
        <v>33</v>
      </c>
    </row>
    <row r="38" spans="1:3" x14ac:dyDescent="0.2">
      <c r="A38" t="s">
        <v>34</v>
      </c>
    </row>
    <row r="40" spans="1:3" x14ac:dyDescent="0.2">
      <c r="A40" t="s">
        <v>184</v>
      </c>
    </row>
    <row r="41" spans="1:3" x14ac:dyDescent="0.2">
      <c r="A41" t="s">
        <v>185</v>
      </c>
    </row>
    <row r="43" spans="1:3" x14ac:dyDescent="0.2">
      <c r="A43" t="s">
        <v>186</v>
      </c>
    </row>
    <row r="44" spans="1:3" x14ac:dyDescent="0.2">
      <c r="A44" t="s">
        <v>40</v>
      </c>
      <c r="B44" s="6">
        <v>38000</v>
      </c>
      <c r="C44" s="6">
        <v>32000</v>
      </c>
    </row>
    <row r="45" spans="1:3" x14ac:dyDescent="0.2">
      <c r="A45" t="s">
        <v>41</v>
      </c>
      <c r="B45" s="6">
        <v>5000</v>
      </c>
      <c r="C45" s="6">
        <v>2000</v>
      </c>
    </row>
    <row r="46" spans="1:3" x14ac:dyDescent="0.2">
      <c r="A46" t="s">
        <v>42</v>
      </c>
      <c r="B46" s="6">
        <f>B44-B45</f>
        <v>33000</v>
      </c>
      <c r="C46" s="6">
        <v>30000</v>
      </c>
    </row>
    <row r="48" spans="1:3" x14ac:dyDescent="0.2">
      <c r="A48" t="s">
        <v>187</v>
      </c>
    </row>
    <row r="49" spans="1:3" x14ac:dyDescent="0.2">
      <c r="A49" t="s">
        <v>44</v>
      </c>
      <c r="B49" s="6">
        <v>41865</v>
      </c>
    </row>
    <row r="50" spans="1:3" x14ac:dyDescent="0.2">
      <c r="A50" t="s">
        <v>45</v>
      </c>
      <c r="B50" s="6">
        <v>33000</v>
      </c>
    </row>
    <row r="51" spans="1:3" x14ac:dyDescent="0.2">
      <c r="A51" t="s">
        <v>46</v>
      </c>
      <c r="B51" s="6">
        <f>B49+B50</f>
        <v>74865</v>
      </c>
      <c r="C51" t="s">
        <v>47</v>
      </c>
    </row>
    <row r="53" spans="1:3" x14ac:dyDescent="0.2">
      <c r="A53" t="s">
        <v>48</v>
      </c>
    </row>
    <row r="54" spans="1:3" x14ac:dyDescent="0.2">
      <c r="A54" t="s">
        <v>49</v>
      </c>
    </row>
    <row r="55" spans="1:3" x14ac:dyDescent="0.2">
      <c r="A55" t="s">
        <v>50</v>
      </c>
    </row>
    <row r="57" spans="1:3" x14ac:dyDescent="0.2">
      <c r="A57" t="s">
        <v>51</v>
      </c>
    </row>
    <row r="59" spans="1:3" x14ac:dyDescent="0.2">
      <c r="A59" t="s">
        <v>52</v>
      </c>
    </row>
    <row r="60" spans="1:3" x14ac:dyDescent="0.2">
      <c r="A60" t="s">
        <v>53</v>
      </c>
    </row>
    <row r="61" spans="1:3" x14ac:dyDescent="0.2">
      <c r="A61" t="s">
        <v>188</v>
      </c>
    </row>
    <row r="62" spans="1:3" x14ac:dyDescent="0.2">
      <c r="C62" s="8"/>
    </row>
    <row r="63" spans="1:3" x14ac:dyDescent="0.2">
      <c r="A63" t="s">
        <v>55</v>
      </c>
      <c r="B63" s="9">
        <v>0.2</v>
      </c>
    </row>
    <row r="64" spans="1:3" x14ac:dyDescent="0.2">
      <c r="B64" s="9"/>
    </row>
    <row r="65" spans="1:5" x14ac:dyDescent="0.2">
      <c r="A65" t="s">
        <v>56</v>
      </c>
      <c r="B65" t="s">
        <v>189</v>
      </c>
      <c r="C65" s="6">
        <f>B46</f>
        <v>33000</v>
      </c>
      <c r="D65" s="6" t="s">
        <v>190</v>
      </c>
      <c r="E65" s="6">
        <f>C46</f>
        <v>30000</v>
      </c>
    </row>
    <row r="66" spans="1:5" x14ac:dyDescent="0.2">
      <c r="A66" t="s">
        <v>59</v>
      </c>
      <c r="B66" s="6">
        <v>35000</v>
      </c>
      <c r="C66" s="6">
        <v>70000</v>
      </c>
      <c r="D66" s="6">
        <f>B66</f>
        <v>35000</v>
      </c>
      <c r="E66" s="6">
        <f>C66</f>
        <v>70000</v>
      </c>
    </row>
    <row r="67" spans="1:5" x14ac:dyDescent="0.2">
      <c r="A67" t="s">
        <v>60</v>
      </c>
      <c r="B67" s="6">
        <f>B66*$B$63</f>
        <v>7000</v>
      </c>
      <c r="C67" s="6">
        <f>C66*$B$63</f>
        <v>14000</v>
      </c>
      <c r="D67" s="6">
        <f>B67</f>
        <v>7000</v>
      </c>
      <c r="E67" s="6">
        <f>C67</f>
        <v>14000</v>
      </c>
    </row>
    <row r="68" spans="1:5" x14ac:dyDescent="0.2">
      <c r="A68" s="8" t="s">
        <v>61</v>
      </c>
      <c r="B68" s="6">
        <f>B66-C65</f>
        <v>2000</v>
      </c>
      <c r="C68" s="6">
        <f>C66-C65</f>
        <v>37000</v>
      </c>
      <c r="D68" s="6">
        <f>D66-(E65*0.18)</f>
        <v>29600</v>
      </c>
      <c r="E68" s="6">
        <f>E66-(E65*0.18)</f>
        <v>64600</v>
      </c>
    </row>
    <row r="69" spans="1:5" x14ac:dyDescent="0.2">
      <c r="A69" s="8" t="s">
        <v>63</v>
      </c>
      <c r="B69" s="6">
        <f>B68*$B$63</f>
        <v>400</v>
      </c>
      <c r="C69" s="6">
        <f>C68*$B$63</f>
        <v>7400</v>
      </c>
      <c r="D69" s="6">
        <f>D68*$B$63</f>
        <v>5920</v>
      </c>
      <c r="E69" s="6">
        <f>E68*$B$63</f>
        <v>12920</v>
      </c>
    </row>
    <row r="70" spans="1:5" x14ac:dyDescent="0.2">
      <c r="A70" t="s">
        <v>64</v>
      </c>
      <c r="B70" s="6">
        <f>B67-B69</f>
        <v>6600</v>
      </c>
      <c r="C70" s="6">
        <f>C67-C69</f>
        <v>6600</v>
      </c>
      <c r="D70" s="6">
        <f>D67-D69</f>
        <v>1080</v>
      </c>
      <c r="E70" s="6">
        <f>E67-E69</f>
        <v>1080</v>
      </c>
    </row>
    <row r="71" spans="1:5" x14ac:dyDescent="0.2">
      <c r="B71" s="6"/>
      <c r="C71" s="6"/>
    </row>
    <row r="72" spans="1:5" x14ac:dyDescent="0.2">
      <c r="A72" s="8"/>
      <c r="B72" s="6"/>
      <c r="C72" s="6"/>
    </row>
    <row r="73" spans="1:5" x14ac:dyDescent="0.2">
      <c r="A73" t="s">
        <v>191</v>
      </c>
    </row>
    <row r="74" spans="1:5" x14ac:dyDescent="0.2">
      <c r="A74" t="s">
        <v>66</v>
      </c>
    </row>
    <row r="75" spans="1:5" x14ac:dyDescent="0.2">
      <c r="A75" t="s">
        <v>67</v>
      </c>
    </row>
    <row r="77" spans="1:5" x14ac:dyDescent="0.2">
      <c r="A77" t="s">
        <v>68</v>
      </c>
      <c r="B77" t="s">
        <v>189</v>
      </c>
      <c r="C77" t="s">
        <v>190</v>
      </c>
    </row>
    <row r="78" spans="1:5" x14ac:dyDescent="0.2">
      <c r="A78" t="s">
        <v>69</v>
      </c>
      <c r="B78" s="6">
        <f>C65</f>
        <v>33000</v>
      </c>
      <c r="C78" s="6">
        <f>E65</f>
        <v>30000</v>
      </c>
    </row>
    <row r="79" spans="1:5" x14ac:dyDescent="0.2">
      <c r="A79" t="s">
        <v>70</v>
      </c>
      <c r="B79" s="6">
        <v>6600</v>
      </c>
      <c r="C79" s="6">
        <f>D70</f>
        <v>1080</v>
      </c>
    </row>
    <row r="80" spans="1:5" x14ac:dyDescent="0.2">
      <c r="A80" t="s">
        <v>71</v>
      </c>
      <c r="B80" s="6">
        <f>B78-B79</f>
        <v>26400</v>
      </c>
      <c r="C80" s="6">
        <f>C78-C79</f>
        <v>28920</v>
      </c>
      <c r="E80" t="s">
        <v>192</v>
      </c>
    </row>
    <row r="82" spans="1:3" x14ac:dyDescent="0.2">
      <c r="A82" t="s">
        <v>73</v>
      </c>
    </row>
    <row r="84" spans="1:3" x14ac:dyDescent="0.2">
      <c r="A84" t="s">
        <v>74</v>
      </c>
    </row>
    <row r="85" spans="1:3" x14ac:dyDescent="0.2">
      <c r="A85" t="s">
        <v>193</v>
      </c>
    </row>
    <row r="87" spans="1:3" x14ac:dyDescent="0.2">
      <c r="A87" t="s">
        <v>76</v>
      </c>
    </row>
    <row r="88" spans="1:3" x14ac:dyDescent="0.2">
      <c r="A88" t="s">
        <v>77</v>
      </c>
    </row>
    <row r="89" spans="1:3" x14ac:dyDescent="0.2">
      <c r="A89" t="s">
        <v>194</v>
      </c>
    </row>
    <row r="90" spans="1:3" x14ac:dyDescent="0.2">
      <c r="A90" t="s">
        <v>195</v>
      </c>
    </row>
    <row r="91" spans="1:3" x14ac:dyDescent="0.2">
      <c r="A91" t="s">
        <v>196</v>
      </c>
    </row>
    <row r="92" spans="1:3" x14ac:dyDescent="0.2">
      <c r="A92" t="s">
        <v>81</v>
      </c>
    </row>
    <row r="93" spans="1:3" x14ac:dyDescent="0.2">
      <c r="A93" t="s">
        <v>82</v>
      </c>
    </row>
    <row r="96" spans="1:3" x14ac:dyDescent="0.2">
      <c r="B96" t="s">
        <v>189</v>
      </c>
      <c r="C96" t="s">
        <v>190</v>
      </c>
    </row>
    <row r="97" spans="1:5" x14ac:dyDescent="0.2">
      <c r="A97" t="s">
        <v>84</v>
      </c>
      <c r="B97" s="10">
        <v>26400</v>
      </c>
      <c r="C97" s="10">
        <f>C80</f>
        <v>28920</v>
      </c>
    </row>
    <row r="98" spans="1:5" x14ac:dyDescent="0.2">
      <c r="A98" t="s">
        <v>85</v>
      </c>
      <c r="B98" s="11">
        <v>1.2250000000000001</v>
      </c>
      <c r="C98" s="10"/>
      <c r="D98" s="10"/>
      <c r="E98" s="12"/>
    </row>
    <row r="99" spans="1:5" x14ac:dyDescent="0.2">
      <c r="A99" t="s">
        <v>86</v>
      </c>
      <c r="B99" s="10">
        <f>B97*B98</f>
        <v>32340.000000000004</v>
      </c>
      <c r="C99" s="10">
        <f>C97*B98</f>
        <v>35427</v>
      </c>
      <c r="D99" s="10"/>
      <c r="E99" s="12"/>
    </row>
    <row r="100" spans="1:5" x14ac:dyDescent="0.2">
      <c r="A100" t="s">
        <v>87</v>
      </c>
      <c r="B100" s="12">
        <f>B99-B97</f>
        <v>5940.0000000000036</v>
      </c>
      <c r="C100" s="10">
        <f>C99-C97</f>
        <v>6507</v>
      </c>
      <c r="D100" s="10"/>
      <c r="E100" s="12"/>
    </row>
    <row r="102" spans="1:5" x14ac:dyDescent="0.2">
      <c r="A102" t="s">
        <v>88</v>
      </c>
      <c r="E102" s="12">
        <f>B100</f>
        <v>5940.0000000000036</v>
      </c>
    </row>
    <row r="104" spans="1:5" x14ac:dyDescent="0.2">
      <c r="A104" t="s">
        <v>89</v>
      </c>
      <c r="B104" t="s">
        <v>189</v>
      </c>
      <c r="C104" t="s">
        <v>190</v>
      </c>
    </row>
    <row r="105" spans="1:5" x14ac:dyDescent="0.2">
      <c r="A105" t="s">
        <v>40</v>
      </c>
      <c r="B105" s="6">
        <f>B44</f>
        <v>38000</v>
      </c>
      <c r="C105" s="6">
        <f>C44</f>
        <v>32000</v>
      </c>
    </row>
    <row r="106" spans="1:5" x14ac:dyDescent="0.2">
      <c r="A106" t="s">
        <v>90</v>
      </c>
      <c r="B106" s="6">
        <f>B45</f>
        <v>5000</v>
      </c>
      <c r="C106" s="6">
        <f>C45</f>
        <v>2000</v>
      </c>
    </row>
    <row r="107" spans="1:5" x14ac:dyDescent="0.2">
      <c r="A107" t="s">
        <v>91</v>
      </c>
      <c r="B107" s="6">
        <f>B46</f>
        <v>33000</v>
      </c>
      <c r="C107" s="6">
        <f>C46</f>
        <v>30000</v>
      </c>
    </row>
    <row r="108" spans="1:5" x14ac:dyDescent="0.2">
      <c r="A108" t="s">
        <v>92</v>
      </c>
      <c r="B108" s="10">
        <v>26400</v>
      </c>
      <c r="C108" s="13">
        <f>C80</f>
        <v>28920</v>
      </c>
    </row>
    <row r="109" spans="1:5" x14ac:dyDescent="0.2">
      <c r="A109" t="s">
        <v>93</v>
      </c>
      <c r="B109" s="10">
        <f>B100</f>
        <v>5940.0000000000036</v>
      </c>
      <c r="C109" s="10">
        <f>C100</f>
        <v>6507</v>
      </c>
    </row>
    <row r="110" spans="1:5" x14ac:dyDescent="0.2">
      <c r="A110" t="s">
        <v>94</v>
      </c>
      <c r="B110" s="14">
        <f>B108-B109</f>
        <v>20459.999999999996</v>
      </c>
      <c r="C110" s="14">
        <f>C107-C109</f>
        <v>23493</v>
      </c>
    </row>
    <row r="111" spans="1:5" x14ac:dyDescent="0.2">
      <c r="A111" t="s">
        <v>95</v>
      </c>
      <c r="B111" s="14">
        <f>B44-B110</f>
        <v>17540.000000000004</v>
      </c>
      <c r="C111" s="14">
        <f>C44-C110</f>
        <v>8507</v>
      </c>
    </row>
    <row r="112" spans="1:5" x14ac:dyDescent="0.2">
      <c r="B112" s="12"/>
    </row>
    <row r="113" spans="1:9" x14ac:dyDescent="0.2">
      <c r="A113" t="s">
        <v>197</v>
      </c>
    </row>
    <row r="115" spans="1:9" x14ac:dyDescent="0.2">
      <c r="A115" t="s">
        <v>97</v>
      </c>
    </row>
    <row r="116" spans="1:9" x14ac:dyDescent="0.2">
      <c r="A116" t="s">
        <v>198</v>
      </c>
    </row>
    <row r="118" spans="1:9" x14ac:dyDescent="0.2">
      <c r="A118" t="s">
        <v>199</v>
      </c>
    </row>
    <row r="120" spans="1:9" x14ac:dyDescent="0.2">
      <c r="A120" t="s">
        <v>200</v>
      </c>
    </row>
    <row r="122" spans="1:9" x14ac:dyDescent="0.2">
      <c r="A122" t="s">
        <v>101</v>
      </c>
    </row>
    <row r="123" spans="1:9" x14ac:dyDescent="0.2">
      <c r="A123" t="s">
        <v>102</v>
      </c>
    </row>
    <row r="124" spans="1:9" x14ac:dyDescent="0.2">
      <c r="A124" t="s">
        <v>103</v>
      </c>
    </row>
    <row r="126" spans="1:9" x14ac:dyDescent="0.2">
      <c r="A126" t="s">
        <v>201</v>
      </c>
    </row>
    <row r="127" spans="1:9" x14ac:dyDescent="0.2">
      <c r="C127" t="s">
        <v>105</v>
      </c>
      <c r="D127" t="s">
        <v>106</v>
      </c>
      <c r="E127" t="s">
        <v>107</v>
      </c>
      <c r="F127" t="s">
        <v>108</v>
      </c>
      <c r="G127" t="s">
        <v>109</v>
      </c>
      <c r="H127" t="s">
        <v>110</v>
      </c>
      <c r="I127" t="s">
        <v>202</v>
      </c>
    </row>
    <row r="128" spans="1:9" x14ac:dyDescent="0.2">
      <c r="A128" t="s">
        <v>203</v>
      </c>
      <c r="B128" s="6">
        <v>38000</v>
      </c>
      <c r="C128" s="9">
        <v>0</v>
      </c>
      <c r="D128" s="9">
        <v>0.05</v>
      </c>
      <c r="E128" s="9">
        <v>7.0000000000000007E-2</v>
      </c>
      <c r="F128" s="9">
        <v>0.09</v>
      </c>
      <c r="G128" s="9">
        <v>0.13</v>
      </c>
    </row>
    <row r="129" spans="1:9" x14ac:dyDescent="0.2">
      <c r="A129" s="6" t="s">
        <v>113</v>
      </c>
      <c r="C129" s="3">
        <f>$B$128*C128</f>
        <v>0</v>
      </c>
      <c r="D129" s="10">
        <f>$B$128*D128</f>
        <v>1900</v>
      </c>
      <c r="E129" s="10">
        <f>$B$128*E128</f>
        <v>2660.0000000000005</v>
      </c>
      <c r="F129" s="10">
        <f>$B$128*F128</f>
        <v>3420</v>
      </c>
      <c r="G129" s="10">
        <f>$B$128*G128</f>
        <v>4940</v>
      </c>
    </row>
    <row r="130" spans="1:9" x14ac:dyDescent="0.2">
      <c r="A130" t="s">
        <v>114</v>
      </c>
      <c r="B130" s="9">
        <v>0.2</v>
      </c>
      <c r="C130" s="9">
        <f>C129*$B$130</f>
        <v>0</v>
      </c>
      <c r="D130" s="10">
        <f>D129*$B$130</f>
        <v>380</v>
      </c>
      <c r="E130" s="10">
        <f>E129*$B$130</f>
        <v>532.00000000000011</v>
      </c>
      <c r="F130" s="10">
        <f>F129*$B$130</f>
        <v>684</v>
      </c>
      <c r="G130" s="10">
        <f>G129*$B$130</f>
        <v>988</v>
      </c>
      <c r="H130" s="10">
        <f>SUM(C130:E130)</f>
        <v>912.00000000000011</v>
      </c>
      <c r="I130" s="12">
        <f>SUM(D130:H130)</f>
        <v>3496</v>
      </c>
    </row>
    <row r="131" spans="1:9" x14ac:dyDescent="0.2">
      <c r="A131" s="9" t="s">
        <v>115</v>
      </c>
      <c r="B131" s="9">
        <v>0.4</v>
      </c>
      <c r="C131" s="9">
        <f>C129*B131</f>
        <v>0</v>
      </c>
      <c r="D131" s="12">
        <f>D129*$B$131</f>
        <v>760</v>
      </c>
      <c r="E131" s="12">
        <f>E129*$B$131</f>
        <v>1064.0000000000002</v>
      </c>
      <c r="F131" s="12">
        <f>F129*$B$131</f>
        <v>1368</v>
      </c>
      <c r="G131" s="12">
        <f>G129*$B$131</f>
        <v>1976</v>
      </c>
      <c r="H131" s="10">
        <f>SUM(C131:E131)</f>
        <v>1824.0000000000002</v>
      </c>
      <c r="I131" s="12">
        <f>SUM(D131:H131)</f>
        <v>6992</v>
      </c>
    </row>
    <row r="132" spans="1:9" x14ac:dyDescent="0.2">
      <c r="B132" s="6"/>
      <c r="C132" s="9"/>
    </row>
    <row r="133" spans="1:9" x14ac:dyDescent="0.2">
      <c r="A133" t="s">
        <v>204</v>
      </c>
      <c r="B133" s="6">
        <v>32000</v>
      </c>
      <c r="C133" s="9">
        <v>0.18</v>
      </c>
      <c r="D133" s="9">
        <v>0.2</v>
      </c>
      <c r="E133" s="9">
        <v>0.19</v>
      </c>
      <c r="F133" s="9">
        <v>0.21</v>
      </c>
      <c r="G133" s="9">
        <v>0.23</v>
      </c>
    </row>
    <row r="134" spans="1:9" x14ac:dyDescent="0.2">
      <c r="A134" s="6" t="s">
        <v>113</v>
      </c>
      <c r="C134" s="10">
        <f>$B$133*C133</f>
        <v>5760</v>
      </c>
      <c r="D134" s="10">
        <f>$B$133*D133</f>
        <v>6400</v>
      </c>
      <c r="E134" s="10">
        <f>$B$133*E133</f>
        <v>6080</v>
      </c>
      <c r="F134" s="10">
        <f>$B$133*F133</f>
        <v>6720</v>
      </c>
      <c r="G134" s="10">
        <f>$B$133*G133</f>
        <v>7360</v>
      </c>
    </row>
    <row r="135" spans="1:9" x14ac:dyDescent="0.2">
      <c r="A135" t="s">
        <v>114</v>
      </c>
      <c r="B135" s="9">
        <v>0.2</v>
      </c>
      <c r="C135" s="10">
        <f>C134*$B$135</f>
        <v>1152</v>
      </c>
      <c r="D135" s="10">
        <f>D134*$B$135</f>
        <v>1280</v>
      </c>
      <c r="E135" s="10">
        <f>E134*$B$135</f>
        <v>1216</v>
      </c>
      <c r="F135" s="10">
        <f>F134*$B$135</f>
        <v>1344</v>
      </c>
      <c r="G135" s="10">
        <f>G134*$B$135</f>
        <v>1472</v>
      </c>
      <c r="H135" s="10">
        <f>SUM(C135:E135)</f>
        <v>3648</v>
      </c>
      <c r="I135" s="12">
        <f>SUM(D135:H135)</f>
        <v>8960</v>
      </c>
    </row>
    <row r="136" spans="1:9" x14ac:dyDescent="0.2">
      <c r="A136" s="9" t="s">
        <v>115</v>
      </c>
      <c r="B136" s="9">
        <v>0.4</v>
      </c>
      <c r="C136" s="10">
        <f>C134*$B$136</f>
        <v>2304</v>
      </c>
      <c r="D136" s="10">
        <f>D134*$B$136</f>
        <v>2560</v>
      </c>
      <c r="E136" s="10">
        <f>E134*$B$136</f>
        <v>2432</v>
      </c>
      <c r="F136" s="10">
        <f>F134*$B$136</f>
        <v>2688</v>
      </c>
      <c r="G136" s="10">
        <f>G134*$B$136</f>
        <v>2944</v>
      </c>
      <c r="H136" s="10">
        <f>SUM(C136:E136)</f>
        <v>7296</v>
      </c>
      <c r="I136" s="12">
        <f>SUM(D136:H136)</f>
        <v>17920</v>
      </c>
    </row>
    <row r="138" spans="1:9" x14ac:dyDescent="0.2">
      <c r="A138" t="s">
        <v>205</v>
      </c>
      <c r="H138" s="12"/>
    </row>
    <row r="139" spans="1:9" x14ac:dyDescent="0.2">
      <c r="A139" t="s">
        <v>206</v>
      </c>
      <c r="B139" t="s">
        <v>119</v>
      </c>
      <c r="C139" t="s">
        <v>120</v>
      </c>
    </row>
    <row r="140" spans="1:9" x14ac:dyDescent="0.2">
      <c r="A140" t="s">
        <v>121</v>
      </c>
      <c r="B140" s="12">
        <f>H135-H130</f>
        <v>2736</v>
      </c>
      <c r="C140" s="12">
        <f>B140/3</f>
        <v>912</v>
      </c>
    </row>
    <row r="141" spans="1:9" x14ac:dyDescent="0.2">
      <c r="A141" t="s">
        <v>122</v>
      </c>
      <c r="B141" s="12">
        <f>H136-H131</f>
        <v>5472</v>
      </c>
      <c r="C141" s="12">
        <f>B141/3</f>
        <v>1824</v>
      </c>
    </row>
    <row r="143" spans="1:9" x14ac:dyDescent="0.2">
      <c r="A143" t="s">
        <v>207</v>
      </c>
    </row>
    <row r="145" spans="1:10" x14ac:dyDescent="0.2">
      <c r="A145" t="s">
        <v>208</v>
      </c>
    </row>
    <row r="146" spans="1:10" x14ac:dyDescent="0.2">
      <c r="B146" t="s">
        <v>10</v>
      </c>
      <c r="C146" t="s">
        <v>209</v>
      </c>
    </row>
    <row r="147" spans="1:10" x14ac:dyDescent="0.2">
      <c r="A147" t="s">
        <v>126</v>
      </c>
      <c r="B147" s="12">
        <f>C147/3</f>
        <v>304.00000000000006</v>
      </c>
      <c r="C147" s="12">
        <f>H131-H130</f>
        <v>912.00000000000011</v>
      </c>
      <c r="G147" s="12"/>
    </row>
    <row r="148" spans="1:10" x14ac:dyDescent="0.2">
      <c r="A148" t="s">
        <v>210</v>
      </c>
      <c r="B148" s="7">
        <f>C148/5</f>
        <v>699.2</v>
      </c>
      <c r="C148" s="12">
        <f>I131-I130</f>
        <v>3496</v>
      </c>
      <c r="G148" s="7"/>
    </row>
    <row r="149" spans="1:10" x14ac:dyDescent="0.2">
      <c r="A149" t="s">
        <v>128</v>
      </c>
    </row>
    <row r="151" spans="1:10" x14ac:dyDescent="0.2">
      <c r="A151" t="s">
        <v>129</v>
      </c>
    </row>
    <row r="153" spans="1:10" x14ac:dyDescent="0.2">
      <c r="A153" t="s">
        <v>130</v>
      </c>
    </row>
    <row r="154" spans="1:10" x14ac:dyDescent="0.2">
      <c r="A154" t="s">
        <v>131</v>
      </c>
    </row>
    <row r="155" spans="1:10" x14ac:dyDescent="0.2">
      <c r="A155" t="s">
        <v>132</v>
      </c>
    </row>
    <row r="157" spans="1:10" x14ac:dyDescent="0.2">
      <c r="A157" t="s">
        <v>133</v>
      </c>
    </row>
    <row r="158" spans="1:10" x14ac:dyDescent="0.2">
      <c r="A158" t="s">
        <v>134</v>
      </c>
      <c r="B158" t="s">
        <v>135</v>
      </c>
      <c r="J158" s="15"/>
    </row>
    <row r="159" spans="1:10" x14ac:dyDescent="0.2">
      <c r="A159" t="s">
        <v>136</v>
      </c>
      <c r="B159" t="s">
        <v>137</v>
      </c>
    </row>
    <row r="160" spans="1:10" x14ac:dyDescent="0.2">
      <c r="A160" t="s">
        <v>138</v>
      </c>
      <c r="B160" t="s">
        <v>139</v>
      </c>
    </row>
    <row r="161" spans="1:5" x14ac:dyDescent="0.2">
      <c r="A161" t="s">
        <v>140</v>
      </c>
      <c r="B161" t="s">
        <v>141</v>
      </c>
    </row>
    <row r="162" spans="1:5" x14ac:dyDescent="0.2">
      <c r="A162" t="s">
        <v>142</v>
      </c>
      <c r="B162" t="s">
        <v>143</v>
      </c>
    </row>
    <row r="163" spans="1:5" x14ac:dyDescent="0.2">
      <c r="A163" t="s">
        <v>144</v>
      </c>
      <c r="B163" t="s">
        <v>145</v>
      </c>
    </row>
    <row r="164" spans="1:5" x14ac:dyDescent="0.2">
      <c r="A164" t="s">
        <v>211</v>
      </c>
      <c r="B164" t="s">
        <v>212</v>
      </c>
    </row>
    <row r="166" spans="1:5" x14ac:dyDescent="0.2">
      <c r="A166" t="s">
        <v>148</v>
      </c>
    </row>
    <row r="167" spans="1:5" x14ac:dyDescent="0.2">
      <c r="A167" t="s">
        <v>149</v>
      </c>
      <c r="B167" s="16">
        <v>0.08</v>
      </c>
      <c r="C167" t="s">
        <v>150</v>
      </c>
      <c r="D167" t="s">
        <v>151</v>
      </c>
    </row>
    <row r="168" spans="1:5" x14ac:dyDescent="0.2">
      <c r="A168" t="s">
        <v>152</v>
      </c>
      <c r="B168">
        <v>0.3</v>
      </c>
      <c r="D168" t="s">
        <v>213</v>
      </c>
    </row>
    <row r="169" spans="1:5" x14ac:dyDescent="0.2">
      <c r="A169" t="s">
        <v>153</v>
      </c>
      <c r="B169" s="17">
        <f>B167*B168</f>
        <v>2.4E-2</v>
      </c>
    </row>
    <row r="170" spans="1:5" x14ac:dyDescent="0.2">
      <c r="B170" s="17"/>
    </row>
    <row r="171" spans="1:5" x14ac:dyDescent="0.2">
      <c r="A171" t="s">
        <v>214</v>
      </c>
      <c r="B171" s="17"/>
    </row>
    <row r="172" spans="1:5" x14ac:dyDescent="0.2">
      <c r="A172" t="s">
        <v>215</v>
      </c>
      <c r="B172">
        <v>35</v>
      </c>
      <c r="D172">
        <v>55</v>
      </c>
      <c r="E172" t="s">
        <v>216</v>
      </c>
    </row>
    <row r="173" spans="1:5" x14ac:dyDescent="0.2">
      <c r="A173" t="s">
        <v>217</v>
      </c>
      <c r="B173" s="16">
        <v>1.3</v>
      </c>
      <c r="D173" s="16">
        <v>1.36</v>
      </c>
      <c r="E173" t="s">
        <v>156</v>
      </c>
    </row>
    <row r="174" spans="1:5" x14ac:dyDescent="0.2">
      <c r="A174" t="s">
        <v>157</v>
      </c>
      <c r="B174">
        <v>4.5</v>
      </c>
      <c r="D174">
        <v>4.5</v>
      </c>
      <c r="E174" t="s">
        <v>157</v>
      </c>
    </row>
    <row r="175" spans="1:5" x14ac:dyDescent="0.2">
      <c r="A175" t="s">
        <v>158</v>
      </c>
      <c r="B175" s="18">
        <f>1/(B172/B174)</f>
        <v>0.12857142857142859</v>
      </c>
      <c r="D175" s="18">
        <f>1/(D172/D174)</f>
        <v>8.1818181818181818E-2</v>
      </c>
      <c r="E175" t="s">
        <v>158</v>
      </c>
    </row>
    <row r="176" spans="1:5" x14ac:dyDescent="0.2">
      <c r="A176" t="s">
        <v>153</v>
      </c>
      <c r="B176" s="3">
        <f>B173*B175</f>
        <v>0.16714285714285718</v>
      </c>
      <c r="D176" s="3">
        <f>D173*D175</f>
        <v>0.11127272727272727</v>
      </c>
      <c r="E176" t="s">
        <v>153</v>
      </c>
    </row>
    <row r="178" spans="1:10" x14ac:dyDescent="0.2">
      <c r="A178" s="19" t="s">
        <v>159</v>
      </c>
      <c r="B178" s="1" t="s">
        <v>160</v>
      </c>
      <c r="C178" s="1" t="s">
        <v>161</v>
      </c>
      <c r="D178" s="20">
        <v>0.1</v>
      </c>
      <c r="E178" s="20">
        <v>0.2</v>
      </c>
      <c r="F178" s="20">
        <v>0.3</v>
      </c>
      <c r="G178" s="20">
        <v>0.4</v>
      </c>
      <c r="H178" s="20">
        <v>0.5</v>
      </c>
      <c r="I178" s="20">
        <v>0.6</v>
      </c>
      <c r="J178" s="20">
        <v>0.7</v>
      </c>
    </row>
    <row r="179" spans="1:10" x14ac:dyDescent="0.2">
      <c r="A179">
        <v>5000</v>
      </c>
      <c r="B179" s="21">
        <f>$D$176*A179</f>
        <v>556.36363636363637</v>
      </c>
      <c r="C179" s="21">
        <f>$B$169*A179</f>
        <v>120</v>
      </c>
      <c r="D179" s="7">
        <f>($C179-($C179*D$178))+(($A179*D$178)*$B$176)</f>
        <v>191.57142857142858</v>
      </c>
      <c r="E179" s="7">
        <f>($C179-($C179*E$178))+(($A179*E$178)*$B$176)</f>
        <v>263.14285714285717</v>
      </c>
      <c r="F179" s="7">
        <f>($C179-($C179*F$178))+(($A179*F$178)*$B$176)</f>
        <v>334.71428571428578</v>
      </c>
      <c r="G179" s="7">
        <f>($C179-($C179*G$178))+(($A179*G$178)*$B$176)</f>
        <v>406.28571428571433</v>
      </c>
      <c r="H179" s="7">
        <f>($C179-($C179*H$178))+(($A179*H$178)*$B$176)</f>
        <v>477.85714285714295</v>
      </c>
      <c r="I179" s="7">
        <f>($C179-($C179*I$178))+(($A179*I$178)*$B$176)</f>
        <v>549.42857142857156</v>
      </c>
      <c r="J179" s="22">
        <f>($C179-($C179*J$178))+(($A179*J$178)*$B$176)</f>
        <v>621.00000000000011</v>
      </c>
    </row>
    <row r="180" spans="1:10" x14ac:dyDescent="0.2">
      <c r="A180">
        <v>6000</v>
      </c>
      <c r="B180" s="21">
        <f>$D$176*A180</f>
        <v>667.63636363636363</v>
      </c>
      <c r="C180" s="21">
        <f>$B$169*A180</f>
        <v>144</v>
      </c>
      <c r="D180" s="7">
        <f>($C180-($C180*D$178))+(($A180*D$178)*$B$176)</f>
        <v>229.8857142857143</v>
      </c>
      <c r="E180" s="7">
        <f>($C180-($C180*E$178))+(($A180*E$178)*$B$176)</f>
        <v>315.7714285714286</v>
      </c>
      <c r="F180" s="7">
        <f>($C180-($C180*F$178))+(($A180*F$178)*$B$176)</f>
        <v>401.6571428571429</v>
      </c>
      <c r="G180" s="7">
        <f>($C180-($C180*G$178))+(($A180*G$178)*$B$176)</f>
        <v>487.5428571428572</v>
      </c>
      <c r="H180" s="7">
        <f>($C180-($C180*H$178))+(($A180*H$178)*$B$176)</f>
        <v>573.42857142857156</v>
      </c>
      <c r="I180" s="7">
        <f>($C180-($C180*I$178))+(($A180*I$178)*$B$176)</f>
        <v>659.3142857142858</v>
      </c>
      <c r="J180" s="22">
        <f>($C180-($C180*J$178))+(($A180*J$178)*$B$176)</f>
        <v>745.20000000000016</v>
      </c>
    </row>
    <row r="181" spans="1:10" x14ac:dyDescent="0.2">
      <c r="A181">
        <v>7000</v>
      </c>
      <c r="B181" s="21">
        <f>$D$176*A181</f>
        <v>778.90909090909088</v>
      </c>
      <c r="C181" s="21">
        <f>$B$169*A181</f>
        <v>168</v>
      </c>
      <c r="D181" s="7">
        <f>($C181-($C181*D$178))+(($A181*D$178)*$B$176)</f>
        <v>268.20000000000005</v>
      </c>
      <c r="E181" s="7">
        <f>($C181-($C181*E$178))+(($A181*E$178)*$B$176)</f>
        <v>368.40000000000009</v>
      </c>
      <c r="F181" s="7">
        <f>($C181-($C181*F$178))+(($A181*F$178)*$B$176)</f>
        <v>468.6</v>
      </c>
      <c r="G181" s="7">
        <f>($C181-($C181*G$178))+(($A181*G$178)*$B$176)</f>
        <v>568.80000000000007</v>
      </c>
      <c r="H181" s="7">
        <f>($C181-($C181*H$178))+(($A181*H$178)*$B$176)</f>
        <v>669.00000000000011</v>
      </c>
      <c r="I181" s="7">
        <f>($C181-($C181*I$178))+(($A181*I$178)*$B$176)</f>
        <v>769.20000000000016</v>
      </c>
      <c r="J181" s="22">
        <f>($C181-($C181*J$178))+(($A181*J$178)*$B$176)</f>
        <v>869.40000000000009</v>
      </c>
    </row>
    <row r="182" spans="1:10" x14ac:dyDescent="0.2">
      <c r="A182">
        <v>8000</v>
      </c>
      <c r="B182" s="21">
        <f>$D$176*A182</f>
        <v>890.18181818181813</v>
      </c>
      <c r="C182" s="21">
        <f>$B$169*A182</f>
        <v>192</v>
      </c>
      <c r="D182" s="7">
        <f>($C182-($C182*D$178))+(($A182*D$178)*$B$176)</f>
        <v>306.51428571428573</v>
      </c>
      <c r="E182" s="7">
        <f>($C182-($C182*E$178))+(($A182*E$178)*$B$176)</f>
        <v>421.02857142857147</v>
      </c>
      <c r="F182" s="7">
        <f>($C182-($C182*F$178))+(($A182*F$178)*$B$176)</f>
        <v>535.5428571428572</v>
      </c>
      <c r="G182" s="7">
        <f>($C182-($C182*G$178))+(($A182*G$178)*$B$176)</f>
        <v>650.05714285714294</v>
      </c>
      <c r="H182" s="7">
        <f>($C182-($C182*H$178))+(($A182*H$178)*$B$176)</f>
        <v>764.57142857142867</v>
      </c>
      <c r="I182" s="7">
        <f>($C182-($C182*I$178))+(($A182*I$178)*$B$176)</f>
        <v>879.0857142857144</v>
      </c>
      <c r="J182" s="22">
        <f>($C182-($C182*J$178))+(($A182*J$178)*$B$176)</f>
        <v>993.60000000000025</v>
      </c>
    </row>
    <row r="183" spans="1:10" x14ac:dyDescent="0.2">
      <c r="A183">
        <v>9000</v>
      </c>
      <c r="B183" s="21">
        <f>$D$176*A183</f>
        <v>1001.4545454545455</v>
      </c>
      <c r="C183" s="21">
        <f>$B$169*A183</f>
        <v>216</v>
      </c>
      <c r="D183" s="7">
        <f>($C183-($C183*D$178))+(($A183*D$178)*$B$176)</f>
        <v>344.82857142857142</v>
      </c>
      <c r="E183" s="7">
        <f>($C183-($C183*E$178))+(($A183*E$178)*$B$176)</f>
        <v>473.6571428571429</v>
      </c>
      <c r="F183" s="7">
        <f>($C183-($C183*F$178))+(($A183*F$178)*$B$176)</f>
        <v>602.48571428571438</v>
      </c>
      <c r="G183" s="7">
        <f>($C183-($C183*G$178))+(($A183*G$178)*$B$176)</f>
        <v>731.3142857142858</v>
      </c>
      <c r="H183" s="7">
        <f>($C183-($C183*H$178))+(($A183*H$178)*$B$176)</f>
        <v>860.14285714285734</v>
      </c>
      <c r="I183" s="7">
        <f>($C183-($C183*I$178))+(($A183*I$178)*$B$176)</f>
        <v>988.97142857142876</v>
      </c>
      <c r="J183" s="22">
        <f>($C183-($C183*J$178))+(($A183*J$178)*$B$176)</f>
        <v>1117.8000000000002</v>
      </c>
    </row>
    <row r="184" spans="1:10" x14ac:dyDescent="0.2">
      <c r="A184">
        <v>10000</v>
      </c>
      <c r="B184" s="21">
        <f>$D$176*A184</f>
        <v>1112.7272727272727</v>
      </c>
      <c r="C184" s="21">
        <f>$B$169*A184</f>
        <v>240</v>
      </c>
      <c r="D184" s="7">
        <f>($C184-($C184*D$178))+(($A184*D$178)*$B$176)</f>
        <v>383.14285714285717</v>
      </c>
      <c r="E184" s="7">
        <f>($C184-($C184*E$178))+(($A184*E$178)*$B$176)</f>
        <v>526.28571428571433</v>
      </c>
      <c r="F184" s="7">
        <f>($C184-($C184*F$178))+(($A184*F$178)*$B$176)</f>
        <v>669.42857142857156</v>
      </c>
      <c r="G184" s="7">
        <f>($C184-($C184*G$178))+(($A184*G$178)*$B$176)</f>
        <v>812.57142857142867</v>
      </c>
      <c r="H184" s="7">
        <f>($C184-($C184*H$178))+(($A184*H$178)*$B$176)</f>
        <v>955.71428571428589</v>
      </c>
      <c r="I184" s="7">
        <f>($C184-($C184*I$178))+(($A184*I$178)*$B$176)</f>
        <v>1098.8571428571431</v>
      </c>
      <c r="J184" s="22">
        <f>($C184-($C184*J$178))+(($A184*J$178)*$B$176)</f>
        <v>1242.0000000000002</v>
      </c>
    </row>
    <row r="185" spans="1:10" x14ac:dyDescent="0.2">
      <c r="A185">
        <v>11000</v>
      </c>
      <c r="B185" s="21">
        <f>$D$176*A185</f>
        <v>1224</v>
      </c>
      <c r="C185" s="21">
        <f>$B$169*A185</f>
        <v>264</v>
      </c>
      <c r="D185" s="7">
        <f>($C185-($C185*D$178))+(($A185*D$178)*$B$176)</f>
        <v>421.45714285714291</v>
      </c>
      <c r="E185" s="23">
        <f>($C185-($C185*E$178))+(($A185*E$178)*$B$176)</f>
        <v>578.91428571428582</v>
      </c>
      <c r="F185" s="7">
        <f>($C185-($C185*F$178))+(($A185*F$178)*$B$176)</f>
        <v>736.37142857142862</v>
      </c>
      <c r="G185" s="7">
        <f>($C185-($C185*G$178))+(($A185*G$178)*$B$176)</f>
        <v>893.82857142857154</v>
      </c>
      <c r="H185" s="7">
        <f>($C185-($C185*H$178))+(($A185*H$178)*$B$176)</f>
        <v>1051.2857142857144</v>
      </c>
      <c r="I185" s="7">
        <f>($C185-($C185*I$178))+(($A185*I$178)*$B$176)</f>
        <v>1208.7428571428572</v>
      </c>
      <c r="J185" s="22">
        <f>($C185-($C185*J$178))+(($A185*J$178)*$B$176)</f>
        <v>1366.2</v>
      </c>
    </row>
    <row r="186" spans="1:10" x14ac:dyDescent="0.2">
      <c r="A186">
        <v>12000</v>
      </c>
      <c r="B186" s="21">
        <f>$D$176*A186</f>
        <v>1335.2727272727273</v>
      </c>
      <c r="C186" s="21">
        <f>$B$169*A186</f>
        <v>288</v>
      </c>
      <c r="D186" s="7">
        <f>($C186-($C186*D$178))+(($A186*D$178)*$B$176)</f>
        <v>459.7714285714286</v>
      </c>
      <c r="E186" s="22">
        <f>($C186-($C186*E$178))+(($A186*E$178)*$B$176)</f>
        <v>631.5428571428572</v>
      </c>
      <c r="F186" s="7">
        <f>($C186-($C186*F$178))+(($A186*F$178)*$B$176)</f>
        <v>803.3142857142858</v>
      </c>
      <c r="G186" s="7">
        <f>($C186-($C186*G$178))+(($A186*G$178)*$B$176)</f>
        <v>975.0857142857144</v>
      </c>
      <c r="H186" s="7">
        <f>($C186-($C186*H$178))+(($A186*H$178)*$B$176)</f>
        <v>1146.8571428571431</v>
      </c>
      <c r="I186" s="7">
        <f>($C186-($C186*I$178))+(($A186*I$178)*$B$176)</f>
        <v>1318.6285714285716</v>
      </c>
      <c r="J186" s="22">
        <f>($C186-($C186*J$178))+(($A186*J$178)*$B$176)</f>
        <v>1490.4000000000003</v>
      </c>
    </row>
    <row r="187" spans="1:10" x14ac:dyDescent="0.2">
      <c r="A187">
        <v>13000</v>
      </c>
      <c r="B187" s="21">
        <f>$D$176*A187</f>
        <v>1446.5454545454545</v>
      </c>
      <c r="C187" s="21">
        <f>$B$169*A187</f>
        <v>312</v>
      </c>
      <c r="D187" s="7">
        <f>($C187-($C187*D$178))+(($A187*D$178)*$B$176)</f>
        <v>498.08571428571435</v>
      </c>
      <c r="E187" s="7">
        <f>($C187-($C187*E$178))+(($A187*E$178)*$B$176)</f>
        <v>684.17142857142869</v>
      </c>
      <c r="F187" s="7">
        <f>($C187-($C187*F$178))+(($A187*F$178)*$B$176)</f>
        <v>870.25714285714298</v>
      </c>
      <c r="G187" s="7">
        <f>($C187-($C187*G$178))+(($A187*G$178)*$B$176)</f>
        <v>1056.3428571428574</v>
      </c>
      <c r="H187" s="7">
        <f>($C187-($C187*H$178))+(($A187*H$178)*$B$176)</f>
        <v>1242.4285714285716</v>
      </c>
      <c r="I187" s="7">
        <f>($C187-($C187*I$178))+(($A187*I$178)*$B$176)</f>
        <v>1428.514285714286</v>
      </c>
      <c r="J187" s="22">
        <f>($C187-($C187*J$178))+(($A187*J$178)*$B$176)</f>
        <v>1614.6000000000004</v>
      </c>
    </row>
    <row r="188" spans="1:10" x14ac:dyDescent="0.2">
      <c r="A188">
        <v>14000</v>
      </c>
      <c r="B188" s="21">
        <f>$D$176*A188</f>
        <v>1557.8181818181818</v>
      </c>
      <c r="C188" s="21">
        <f>$B$169*A188</f>
        <v>336</v>
      </c>
      <c r="D188" s="7">
        <f>($C188-($C188*D$178))+(($A188*D$178)*$B$176)</f>
        <v>536.40000000000009</v>
      </c>
      <c r="E188" s="7">
        <f>($C188-($C188*E$178))+(($A188*E$178)*$B$176)</f>
        <v>736.80000000000018</v>
      </c>
      <c r="F188" s="7">
        <f>($C188-($C188*F$178))+(($A188*F$178)*$B$176)</f>
        <v>937.2</v>
      </c>
      <c r="G188" s="7">
        <f>($C188-($C188*G$178))+(($A188*G$178)*$B$176)</f>
        <v>1137.6000000000001</v>
      </c>
      <c r="H188" s="7">
        <f>($C188-($C188*H$178))+(($A188*H$178)*$B$176)</f>
        <v>1338.0000000000002</v>
      </c>
      <c r="I188" s="7">
        <f>($C188-($C188*I$178))+(($A188*I$178)*$B$176)</f>
        <v>1538.4000000000003</v>
      </c>
      <c r="J188" s="22">
        <f>($C188-($C188*J$178))+(($A188*J$178)*$B$176)</f>
        <v>1738.8000000000002</v>
      </c>
    </row>
    <row r="189" spans="1:10" x14ac:dyDescent="0.2">
      <c r="A189">
        <v>15000</v>
      </c>
      <c r="B189" s="21">
        <f>$D$176*A189</f>
        <v>1669.090909090909</v>
      </c>
      <c r="C189" s="21">
        <f>$B$169*A189</f>
        <v>360</v>
      </c>
      <c r="D189" s="7">
        <f>($C189-($C189*D$178))+(($A189*D$178)*$B$176)</f>
        <v>574.71428571428578</v>
      </c>
      <c r="E189" s="7">
        <f>($C189-($C189*E$178))+(($A189*E$178)*$B$176)</f>
        <v>789.42857142857156</v>
      </c>
      <c r="F189" s="7">
        <f>($C189-($C189*F$178))+(($A189*F$178)*$B$176)</f>
        <v>1004.1428571428573</v>
      </c>
      <c r="G189" s="7">
        <f>($C189-($C189*G$178))+(($A189*G$178)*$B$176)</f>
        <v>1218.8571428571431</v>
      </c>
      <c r="H189" s="7">
        <f>($C189-($C189*H$178))+(($A189*H$178)*$B$176)</f>
        <v>1433.5714285714289</v>
      </c>
      <c r="I189" s="7">
        <f>($C189-($C189*I$178))+(($A189*I$178)*$B$176)</f>
        <v>1648.2857142857147</v>
      </c>
      <c r="J189" s="22">
        <f>($C189-($C189*J$178))+(($A189*J$178)*$B$176)</f>
        <v>1863.0000000000005</v>
      </c>
    </row>
    <row r="190" spans="1:10" x14ac:dyDescent="0.2">
      <c r="A190">
        <v>16000</v>
      </c>
      <c r="B190" s="21">
        <f>$D$176*A190</f>
        <v>1780.3636363636363</v>
      </c>
      <c r="C190" s="21">
        <f>$B$169*A190</f>
        <v>384</v>
      </c>
      <c r="D190" s="7">
        <f>($C190-($C190*D$178))+(($A190*D$178)*$B$176)</f>
        <v>613.02857142857147</v>
      </c>
      <c r="E190" s="7">
        <f>($C190-($C190*E$178))+(($A190*E$178)*$B$176)</f>
        <v>842.05714285714294</v>
      </c>
      <c r="F190" s="7">
        <f>($C190-($C190*F$178))+(($A190*F$178)*$B$176)</f>
        <v>1071.0857142857144</v>
      </c>
      <c r="G190" s="7">
        <f>($C190-($C190*G$178))+(($A190*G$178)*$B$176)</f>
        <v>1300.1142857142859</v>
      </c>
      <c r="H190" s="7">
        <f>($C190-($C190*H$178))+(($A190*H$178)*$B$176)</f>
        <v>1529.1428571428573</v>
      </c>
      <c r="I190" s="7">
        <f>($C190-($C190*I$178))+(($A190*I$178)*$B$176)</f>
        <v>1758.1714285714288</v>
      </c>
      <c r="J190" s="22">
        <f>($C190-($C190*J$178))+(($A190*J$178)*$B$176)</f>
        <v>1987.2000000000005</v>
      </c>
    </row>
    <row r="191" spans="1:10" x14ac:dyDescent="0.2">
      <c r="A191">
        <v>17000</v>
      </c>
      <c r="B191" s="21">
        <f>$D$176*A191</f>
        <v>1891.6363636363637</v>
      </c>
      <c r="C191" s="21">
        <f>$B$169*A191</f>
        <v>408</v>
      </c>
      <c r="D191" s="7">
        <f>($C191-($C191*D$178))+(($A191*D$178)*$B$176)</f>
        <v>651.34285714285716</v>
      </c>
      <c r="E191" s="7">
        <f>($C191-($C191*E$178))+(($A191*E$178)*$B$176)</f>
        <v>894.68571428571443</v>
      </c>
      <c r="F191" s="7">
        <f>($C191-($C191*F$178))+(($A191*F$178)*$B$176)</f>
        <v>1138.0285714285715</v>
      </c>
      <c r="G191" s="7">
        <f>($C191-($C191*G$178))+(($A191*G$178)*$B$176)</f>
        <v>1381.3714285714289</v>
      </c>
      <c r="H191" s="7">
        <f>($C191-($C191*H$178))+(($A191*H$178)*$B$176)</f>
        <v>1624.714285714286</v>
      </c>
      <c r="I191" s="7">
        <f>($C191-($C191*I$178))+(($A191*I$178)*$B$176)</f>
        <v>1868.0571428571432</v>
      </c>
      <c r="J191" s="22">
        <f>($C191-($C191*J$178))+(($A191*J$178)*$B$176)</f>
        <v>2111.4000000000005</v>
      </c>
    </row>
    <row r="192" spans="1:10" x14ac:dyDescent="0.2">
      <c r="A192">
        <v>18000</v>
      </c>
      <c r="B192" s="21">
        <f>$D$176*A192</f>
        <v>2002.909090909091</v>
      </c>
      <c r="C192" s="21">
        <f>$B$169*A192</f>
        <v>432</v>
      </c>
      <c r="D192" s="7">
        <f>($C192-($C192*D$178))+(($A192*D$178)*$B$176)</f>
        <v>689.65714285714284</v>
      </c>
      <c r="E192" s="7">
        <f>($C192-($C192*E$178))+(($A192*E$178)*$B$176)</f>
        <v>947.3142857142858</v>
      </c>
      <c r="F192" s="7">
        <f>($C192-($C192*F$178))+(($A192*F$178)*$B$176)</f>
        <v>1204.9714285714288</v>
      </c>
      <c r="G192" s="7">
        <f>($C192-($C192*G$178))+(($A192*G$178)*$B$176)</f>
        <v>1462.6285714285716</v>
      </c>
      <c r="H192" s="7">
        <f>($C192-($C192*H$178))+(($A192*H$178)*$B$176)</f>
        <v>1720.2857142857147</v>
      </c>
      <c r="I192" s="7">
        <f>($C192-($C192*I$178))+(($A192*I$178)*$B$176)</f>
        <v>1977.9428571428575</v>
      </c>
      <c r="J192" s="22">
        <f>($C192-($C192*J$178))+(($A192*J$178)*$B$176)</f>
        <v>2235.6000000000004</v>
      </c>
    </row>
    <row r="193" spans="1:11" x14ac:dyDescent="0.2">
      <c r="A193">
        <v>19000</v>
      </c>
      <c r="B193" s="21">
        <f>$D$176*A193</f>
        <v>2114.181818181818</v>
      </c>
      <c r="C193" s="21">
        <f>$B$169*A193</f>
        <v>456</v>
      </c>
      <c r="D193" s="7">
        <f>($C193-($C193*D$178))+(($A193*D$178)*$B$176)</f>
        <v>727.97142857142853</v>
      </c>
      <c r="E193" s="7">
        <f>($C193-($C193*E$178))+(($A193*E$178)*$B$176)</f>
        <v>999.94285714285729</v>
      </c>
      <c r="F193" s="7">
        <f>($C193-($C193*F$178))+(($A193*F$178)*$B$176)</f>
        <v>1271.9142857142861</v>
      </c>
      <c r="G193" s="7">
        <f>($C193-($C193*G$178))+(($A193*G$178)*$B$176)</f>
        <v>1543.8857142857146</v>
      </c>
      <c r="H193" s="7">
        <f>($C193-($C193*H$178))+(($A193*H$178)*$B$176)</f>
        <v>1815.8571428571431</v>
      </c>
      <c r="I193" s="7">
        <f>($C193-($C193*I$178))+(($A193*I$178)*$B$176)</f>
        <v>2087.8285714285716</v>
      </c>
      <c r="J193" s="22">
        <f>($C193-($C193*J$178))+(($A193*J$178)*$B$176)</f>
        <v>2359.8000000000006</v>
      </c>
    </row>
    <row r="194" spans="1:11" x14ac:dyDescent="0.2">
      <c r="A194">
        <v>20000</v>
      </c>
      <c r="B194" s="21">
        <f>$D$176*A194</f>
        <v>2225.4545454545455</v>
      </c>
      <c r="C194" s="21">
        <f>$B$169*A194</f>
        <v>480</v>
      </c>
      <c r="D194" s="7">
        <f>($C194-($C194*D$178))+(($A194*D$178)*$B$176)</f>
        <v>766.28571428571433</v>
      </c>
      <c r="E194" s="7">
        <f>($C194-($C194*E$178))+(($A194*E$178)*$B$176)</f>
        <v>1052.5714285714287</v>
      </c>
      <c r="F194" s="7">
        <f>($C194-($C194*F$178))+(($A194*F$178)*$B$176)</f>
        <v>1338.8571428571431</v>
      </c>
      <c r="G194" s="7">
        <f>($C194-($C194*G$178))+(($A194*G$178)*$B$176)</f>
        <v>1625.1428571428573</v>
      </c>
      <c r="H194" s="7">
        <f>($C194-($C194*H$178))+(($A194*H$178)*$B$176)</f>
        <v>1911.4285714285718</v>
      </c>
      <c r="I194" s="22">
        <f>($C194-($C194*I$178))+(($A194*I$178)*$B$176)</f>
        <v>2197.7142857142862</v>
      </c>
      <c r="J194" s="22">
        <f>($C194-($C194*J$178))+(($A194*J$178)*$B$176)</f>
        <v>2484.0000000000005</v>
      </c>
    </row>
    <row r="195" spans="1:11" x14ac:dyDescent="0.2">
      <c r="C195" s="21"/>
      <c r="D195" s="7"/>
      <c r="E195" s="7"/>
      <c r="F195" s="7"/>
      <c r="G195" s="7"/>
      <c r="H195" s="7"/>
      <c r="I195" s="22"/>
      <c r="J195" s="22"/>
      <c r="K195" s="22"/>
    </row>
    <row r="196" spans="1:11" x14ac:dyDescent="0.2">
      <c r="K196" s="22"/>
    </row>
    <row r="197" spans="1:11" x14ac:dyDescent="0.2">
      <c r="A197" t="s">
        <v>218</v>
      </c>
    </row>
    <row r="198" spans="1:11" x14ac:dyDescent="0.2">
      <c r="A198" t="s">
        <v>219</v>
      </c>
      <c r="B198">
        <v>70</v>
      </c>
    </row>
    <row r="199" spans="1:11" x14ac:dyDescent="0.2">
      <c r="A199" t="s">
        <v>220</v>
      </c>
      <c r="B199">
        <f>B198*0.6</f>
        <v>42</v>
      </c>
    </row>
    <row r="200" spans="1:11" x14ac:dyDescent="0.2">
      <c r="A200" t="s">
        <v>221</v>
      </c>
      <c r="B200">
        <f>B198+B199</f>
        <v>112</v>
      </c>
    </row>
    <row r="201" spans="1:11" x14ac:dyDescent="0.2">
      <c r="A201" t="s">
        <v>222</v>
      </c>
    </row>
    <row r="203" spans="1:11" x14ac:dyDescent="0.2">
      <c r="A203" t="s">
        <v>223</v>
      </c>
    </row>
    <row r="204" spans="1:11" x14ac:dyDescent="0.2">
      <c r="B204" s="21">
        <f>B186-E186</f>
        <v>703.72987012987005</v>
      </c>
      <c r="C204" t="s">
        <v>163</v>
      </c>
    </row>
    <row r="205" spans="1:11" x14ac:dyDescent="0.2">
      <c r="B205" s="21">
        <f>B186-C186</f>
        <v>1047.2727272727273</v>
      </c>
      <c r="C205" t="s">
        <v>224</v>
      </c>
    </row>
    <row r="206" spans="1:11" x14ac:dyDescent="0.2">
      <c r="B206" s="21">
        <f>B205-B204</f>
        <v>343.5428571428572</v>
      </c>
      <c r="C206" t="s">
        <v>225</v>
      </c>
    </row>
    <row r="207" spans="1:11" x14ac:dyDescent="0.2">
      <c r="B207" s="21"/>
    </row>
    <row r="208" spans="1:11" x14ac:dyDescent="0.2">
      <c r="A208" t="s">
        <v>164</v>
      </c>
    </row>
    <row r="210" spans="1:6" x14ac:dyDescent="0.2">
      <c r="A210" t="s">
        <v>165</v>
      </c>
    </row>
    <row r="211" spans="1:6" x14ac:dyDescent="0.2">
      <c r="A211" t="s">
        <v>166</v>
      </c>
      <c r="C211" s="10">
        <f>B44</f>
        <v>38000</v>
      </c>
    </row>
    <row r="212" spans="1:6" x14ac:dyDescent="0.2">
      <c r="A212" t="s">
        <v>167</v>
      </c>
      <c r="C212" s="14">
        <f>B110</f>
        <v>20459.999999999996</v>
      </c>
      <c r="D212" t="s">
        <v>168</v>
      </c>
    </row>
    <row r="213" spans="1:6" x14ac:dyDescent="0.2">
      <c r="A213" t="s">
        <v>169</v>
      </c>
      <c r="C213" s="24">
        <f>C211-C212</f>
        <v>17540.000000000004</v>
      </c>
      <c r="D213" t="s">
        <v>170</v>
      </c>
    </row>
    <row r="215" spans="1:6" x14ac:dyDescent="0.2">
      <c r="A215" t="s">
        <v>171</v>
      </c>
    </row>
    <row r="216" spans="1:6" x14ac:dyDescent="0.2">
      <c r="A216" t="s">
        <v>226</v>
      </c>
      <c r="C216" s="3">
        <f>B147</f>
        <v>304.00000000000006</v>
      </c>
      <c r="D216" t="s">
        <v>227</v>
      </c>
      <c r="E216" s="12">
        <f>(H136-H131)/3</f>
        <v>1824</v>
      </c>
      <c r="F216" t="s">
        <v>228</v>
      </c>
    </row>
    <row r="217" spans="1:6" x14ac:dyDescent="0.2">
      <c r="A217" t="s">
        <v>175</v>
      </c>
      <c r="C217" t="s">
        <v>176</v>
      </c>
      <c r="E217" s="21">
        <f>B204</f>
        <v>703.72987012987005</v>
      </c>
    </row>
    <row r="218" spans="1:6" x14ac:dyDescent="0.2">
      <c r="A218" t="s">
        <v>177</v>
      </c>
      <c r="C218" s="7">
        <f>C213+(C216*3)</f>
        <v>18452.000000000004</v>
      </c>
      <c r="E218" s="12">
        <f>SUM(E216:E217)</f>
        <v>2527.7298701298701</v>
      </c>
    </row>
    <row r="219" spans="1:6" ht="21" x14ac:dyDescent="0.3">
      <c r="A219" t="s">
        <v>178</v>
      </c>
      <c r="B219" s="7"/>
      <c r="C219" s="25">
        <f>C211-C218</f>
        <v>19547.999999999996</v>
      </c>
    </row>
    <row r="220" spans="1:6" x14ac:dyDescent="0.2">
      <c r="B220" s="7"/>
    </row>
    <row r="221" spans="1:6" x14ac:dyDescent="0.2">
      <c r="A221" t="s">
        <v>229</v>
      </c>
    </row>
    <row r="223" spans="1:6" x14ac:dyDescent="0.2">
      <c r="A223" t="s">
        <v>230</v>
      </c>
    </row>
  </sheetData>
  <hyperlinks>
    <hyperlink ref="A28" r:id="rId1" xr:uid="{00000000-0004-0000-0100-000000000000}"/>
    <hyperlink ref="A31" r:id="rId2" xr:uid="{00000000-0004-0000-0100-000001000000}"/>
  </hyperlinks>
  <pageMargins left="0.7" right="0.7" top="0.75" bottom="0.75" header="0.51180555555555496" footer="0.51180555555555496"/>
  <pageSetup paperSize="9" firstPageNumber="0" orientation="portrait" usePrinterDefaults="0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8"/>
  <sheetViews>
    <sheetView zoomScale="90" zoomScaleNormal="90" workbookViewId="0" xr3:uid="{842E5F09-E766-5B8D-85AF-A39847EA96FD}">
      <selection activeCell="A60" sqref="A60"/>
    </sheetView>
  </sheetViews>
  <sheetFormatPr defaultRowHeight="15" x14ac:dyDescent="0.2"/>
  <cols>
    <col min="1" max="1025" width="11.56640625"/>
  </cols>
  <sheetData>
    <row r="1" spans="1:11" x14ac:dyDescent="0.2">
      <c r="A1" t="s">
        <v>231</v>
      </c>
    </row>
    <row r="3" spans="1:11" x14ac:dyDescent="0.2">
      <c r="A3" t="s">
        <v>232</v>
      </c>
    </row>
    <row r="4" spans="1:11" x14ac:dyDescent="0.2">
      <c r="A4">
        <v>150</v>
      </c>
      <c r="B4" t="s">
        <v>233</v>
      </c>
    </row>
    <row r="5" spans="1:11" x14ac:dyDescent="0.2">
      <c r="A5">
        <v>150</v>
      </c>
      <c r="B5" t="s">
        <v>234</v>
      </c>
    </row>
    <row r="6" spans="1:11" x14ac:dyDescent="0.2">
      <c r="A6">
        <f>A4+A5</f>
        <v>300</v>
      </c>
      <c r="B6" t="s">
        <v>235</v>
      </c>
    </row>
    <row r="7" spans="1:11" x14ac:dyDescent="0.2">
      <c r="A7">
        <f>A6*46</f>
        <v>13800</v>
      </c>
      <c r="B7" t="s">
        <v>236</v>
      </c>
      <c r="C7" t="s">
        <v>237</v>
      </c>
      <c r="E7">
        <v>50</v>
      </c>
      <c r="F7" t="s">
        <v>238</v>
      </c>
      <c r="H7" t="s">
        <v>239</v>
      </c>
      <c r="I7" t="s">
        <v>240</v>
      </c>
      <c r="J7">
        <v>7</v>
      </c>
    </row>
    <row r="8" spans="1:11" x14ac:dyDescent="0.2">
      <c r="A8">
        <v>10000</v>
      </c>
      <c r="B8">
        <v>0.45</v>
      </c>
      <c r="C8">
        <f>A8*B8</f>
        <v>4500</v>
      </c>
      <c r="E8">
        <v>75</v>
      </c>
      <c r="F8" t="s">
        <v>241</v>
      </c>
      <c r="H8" t="s">
        <v>242</v>
      </c>
      <c r="I8" t="s">
        <v>243</v>
      </c>
      <c r="J8">
        <v>14</v>
      </c>
    </row>
    <row r="9" spans="1:11" x14ac:dyDescent="0.2">
      <c r="A9">
        <f>A7-10000</f>
        <v>3800</v>
      </c>
      <c r="B9">
        <v>0.25</v>
      </c>
      <c r="C9">
        <f>A9*B9</f>
        <v>950</v>
      </c>
      <c r="E9">
        <v>300</v>
      </c>
      <c r="F9" t="s">
        <v>237</v>
      </c>
      <c r="H9" t="s">
        <v>242</v>
      </c>
      <c r="I9" t="s">
        <v>244</v>
      </c>
      <c r="J9">
        <v>14</v>
      </c>
    </row>
    <row r="10" spans="1:11" x14ac:dyDescent="0.2">
      <c r="C10" s="1">
        <f>SUM(C8:C9)</f>
        <v>5450</v>
      </c>
      <c r="E10">
        <f>SUM(E7:E9)</f>
        <v>425</v>
      </c>
      <c r="H10" t="s">
        <v>242</v>
      </c>
      <c r="I10" t="s">
        <v>245</v>
      </c>
      <c r="J10">
        <v>14</v>
      </c>
    </row>
    <row r="11" spans="1:11" x14ac:dyDescent="0.2">
      <c r="E11">
        <v>46</v>
      </c>
      <c r="J11">
        <f>SUM(J7:J10)</f>
        <v>49</v>
      </c>
    </row>
    <row r="12" spans="1:11" x14ac:dyDescent="0.2">
      <c r="A12" t="s">
        <v>246</v>
      </c>
      <c r="E12">
        <f>E10*E11</f>
        <v>19550</v>
      </c>
      <c r="F12" t="s">
        <v>247</v>
      </c>
      <c r="H12" t="s">
        <v>248</v>
      </c>
      <c r="J12">
        <v>25</v>
      </c>
      <c r="K12" t="s">
        <v>249</v>
      </c>
    </row>
    <row r="13" spans="1:11" x14ac:dyDescent="0.2">
      <c r="E13">
        <v>6</v>
      </c>
      <c r="F13" t="s">
        <v>250</v>
      </c>
      <c r="J13">
        <f>J11+J12</f>
        <v>74</v>
      </c>
    </row>
    <row r="14" spans="1:11" x14ac:dyDescent="0.2">
      <c r="A14">
        <v>40</v>
      </c>
      <c r="B14" t="s">
        <v>251</v>
      </c>
      <c r="E14">
        <f>SUM(E7:E8)*6</f>
        <v>750</v>
      </c>
    </row>
    <row r="15" spans="1:11" x14ac:dyDescent="0.2">
      <c r="A15">
        <v>4.5460000000000003</v>
      </c>
      <c r="B15" t="s">
        <v>252</v>
      </c>
      <c r="E15">
        <f>E12+E14</f>
        <v>20300</v>
      </c>
    </row>
    <row r="16" spans="1:11" x14ac:dyDescent="0.2">
      <c r="A16">
        <f>A14/A15</f>
        <v>8.7989441267047948</v>
      </c>
      <c r="B16" t="s">
        <v>253</v>
      </c>
      <c r="E16">
        <f>A21/E15</f>
        <v>0.33990147783251229</v>
      </c>
      <c r="F16" t="s">
        <v>254</v>
      </c>
    </row>
    <row r="17" spans="1:5" x14ac:dyDescent="0.2">
      <c r="A17">
        <f>1/A16</f>
        <v>0.11365000000000001</v>
      </c>
      <c r="B17" t="s">
        <v>255</v>
      </c>
    </row>
    <row r="18" spans="1:5" x14ac:dyDescent="0.2">
      <c r="A18" s="27">
        <v>1.26</v>
      </c>
      <c r="B18" t="s">
        <v>256</v>
      </c>
    </row>
    <row r="19" spans="1:5" x14ac:dyDescent="0.2">
      <c r="A19" s="27">
        <f>A17*A18</f>
        <v>0.14319900000000002</v>
      </c>
      <c r="B19" t="s">
        <v>257</v>
      </c>
      <c r="E19" t="s">
        <v>258</v>
      </c>
    </row>
    <row r="20" spans="1:5" x14ac:dyDescent="0.2">
      <c r="A20" t="s">
        <v>259</v>
      </c>
    </row>
    <row r="21" spans="1:5" x14ac:dyDescent="0.2">
      <c r="A21">
        <f>A7/2</f>
        <v>6900</v>
      </c>
      <c r="B21" t="s">
        <v>260</v>
      </c>
    </row>
    <row r="22" spans="1:5" x14ac:dyDescent="0.2">
      <c r="A22" s="27">
        <f>A21*A19</f>
        <v>988.07310000000018</v>
      </c>
      <c r="B22" t="s">
        <v>175</v>
      </c>
    </row>
    <row r="23" spans="1:5" x14ac:dyDescent="0.2">
      <c r="A23">
        <v>0.08</v>
      </c>
      <c r="B23" t="s">
        <v>261</v>
      </c>
    </row>
    <row r="24" spans="1:5" x14ac:dyDescent="0.2">
      <c r="A24">
        <f>A21*A23</f>
        <v>552</v>
      </c>
      <c r="B24" t="s">
        <v>262</v>
      </c>
    </row>
    <row r="25" spans="1:5" x14ac:dyDescent="0.2">
      <c r="A25" s="27">
        <f>A22+A24</f>
        <v>1540.0731000000001</v>
      </c>
      <c r="B25" t="s">
        <v>263</v>
      </c>
    </row>
    <row r="27" spans="1:5" x14ac:dyDescent="0.2">
      <c r="A27" s="27">
        <f>C10-A25</f>
        <v>3909.9268999999999</v>
      </c>
      <c r="B27" t="s">
        <v>264</v>
      </c>
    </row>
    <row r="29" spans="1:5" x14ac:dyDescent="0.2">
      <c r="A29" t="s">
        <v>265</v>
      </c>
    </row>
    <row r="31" spans="1:5" x14ac:dyDescent="0.2">
      <c r="A31">
        <v>20460</v>
      </c>
      <c r="B31" t="s">
        <v>266</v>
      </c>
    </row>
    <row r="32" spans="1:5" x14ac:dyDescent="0.2">
      <c r="A32">
        <f>A31/A27</f>
        <v>5.2328344041419292</v>
      </c>
      <c r="B32" t="s">
        <v>267</v>
      </c>
    </row>
    <row r="33" spans="1:8" x14ac:dyDescent="0.2">
      <c r="B33" t="s">
        <v>268</v>
      </c>
    </row>
    <row r="34" spans="1:8" x14ac:dyDescent="0.2">
      <c r="B34" t="s">
        <v>269</v>
      </c>
    </row>
    <row r="35" spans="1:8" x14ac:dyDescent="0.2">
      <c r="B35" t="s">
        <v>270</v>
      </c>
    </row>
    <row r="37" spans="1:8" x14ac:dyDescent="0.2">
      <c r="B37" t="s">
        <v>271</v>
      </c>
    </row>
    <row r="39" spans="1:8" x14ac:dyDescent="0.2">
      <c r="A39" t="s">
        <v>272</v>
      </c>
    </row>
    <row r="41" spans="1:8" x14ac:dyDescent="0.2">
      <c r="C41" t="s">
        <v>105</v>
      </c>
      <c r="D41" t="s">
        <v>106</v>
      </c>
      <c r="E41" t="s">
        <v>107</v>
      </c>
      <c r="F41" t="s">
        <v>108</v>
      </c>
      <c r="G41" t="s">
        <v>109</v>
      </c>
    </row>
    <row r="42" spans="1:8" x14ac:dyDescent="0.2">
      <c r="A42" s="9"/>
      <c r="B42" s="9"/>
      <c r="C42" s="12">
        <v>0</v>
      </c>
      <c r="D42" s="12">
        <v>760</v>
      </c>
      <c r="E42" s="12">
        <v>1064</v>
      </c>
      <c r="F42" s="12">
        <v>1368</v>
      </c>
      <c r="G42" s="12">
        <v>1976</v>
      </c>
      <c r="H42" s="12"/>
    </row>
    <row r="43" spans="1:8" x14ac:dyDescent="0.2">
      <c r="B43" t="s">
        <v>273</v>
      </c>
      <c r="C43" s="27">
        <f>$A$27+C42</f>
        <v>3909.9268999999999</v>
      </c>
      <c r="D43" s="27">
        <f>$A$27+D42</f>
        <v>4669.9269000000004</v>
      </c>
      <c r="E43" s="27">
        <f>$A$27+E42</f>
        <v>4973.9269000000004</v>
      </c>
      <c r="F43" s="27">
        <f>$A$27+F42</f>
        <v>5277.9269000000004</v>
      </c>
      <c r="G43" s="27">
        <f>$A$27+G42</f>
        <v>5885.9269000000004</v>
      </c>
    </row>
    <row r="46" spans="1:8" x14ac:dyDescent="0.2">
      <c r="A46" t="s">
        <v>274</v>
      </c>
    </row>
    <row r="48" spans="1:8" x14ac:dyDescent="0.2">
      <c r="A48" t="s">
        <v>275</v>
      </c>
      <c r="D48" s="27">
        <v>33000</v>
      </c>
    </row>
    <row r="50" spans="1:4" x14ac:dyDescent="0.2">
      <c r="A50" t="s">
        <v>276</v>
      </c>
      <c r="D50" s="27">
        <f>SUM(C43:E43)</f>
        <v>13553.780700000001</v>
      </c>
    </row>
    <row r="52" spans="1:4" x14ac:dyDescent="0.2">
      <c r="A52" t="s">
        <v>277</v>
      </c>
      <c r="D52" s="27">
        <f>D48-D50</f>
        <v>19446.219299999997</v>
      </c>
    </row>
    <row r="54" spans="1:4" x14ac:dyDescent="0.2">
      <c r="A54" t="s">
        <v>278</v>
      </c>
    </row>
    <row r="56" spans="1:4" x14ac:dyDescent="0.2">
      <c r="A56">
        <v>40</v>
      </c>
      <c r="B56" t="s">
        <v>279</v>
      </c>
      <c r="C56">
        <f>A56*5</f>
        <v>200</v>
      </c>
      <c r="D56">
        <f>C56*46</f>
        <v>9200</v>
      </c>
    </row>
    <row r="57" spans="1:4" x14ac:dyDescent="0.2">
      <c r="A57">
        <v>50</v>
      </c>
      <c r="B57" t="s">
        <v>280</v>
      </c>
      <c r="C57">
        <f>A57*5</f>
        <v>250</v>
      </c>
      <c r="D57">
        <f>C57*46</f>
        <v>11500</v>
      </c>
    </row>
    <row r="58" spans="1:4" x14ac:dyDescent="0.2">
      <c r="A58">
        <v>75</v>
      </c>
      <c r="B58" t="s">
        <v>281</v>
      </c>
      <c r="C58">
        <f>A58*5</f>
        <v>375</v>
      </c>
      <c r="D58">
        <f>C58*46</f>
        <v>17250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PrinterDefaults="0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Telsa S</vt:lpstr>
      <vt:lpstr>BMW i3</vt:lpstr>
      <vt:lpstr>MileagePayments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Simon Heath</cp:lastModifiedBy>
  <cp:revision>0</cp:revision>
  <dcterms:created xsi:type="dcterms:W3CDTF">2014-08-07T09:20:31Z</dcterms:created>
  <dcterms:modified xsi:type="dcterms:W3CDTF">2014-08-15T13:36:48Z</dcterms:modified>
  <dc:language>en-GB</dc:language>
</cp:coreProperties>
</file>