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Base Case" sheetId="1" r:id="rId3"/>
    <sheet state="visible" name="Optimistic" sheetId="2" r:id="rId4"/>
    <sheet state="visible" name="Pessimistic" sheetId="3" r:id="rId5"/>
    <sheet state="visible" name="TAMSAMSOM" sheetId="4" r:id="rId6"/>
    <sheet state="visible" name="1" sheetId="5" r:id="rId7"/>
  </sheets>
  <definedNames/>
  <calcPr/>
</workbook>
</file>

<file path=xl/sharedStrings.xml><?xml version="1.0" encoding="utf-8"?>
<sst xmlns="http://schemas.openxmlformats.org/spreadsheetml/2006/main" count="311" uniqueCount="139">
  <si>
    <t>In Thousands</t>
  </si>
  <si>
    <t>9 Months Ended</t>
  </si>
  <si>
    <t>Income Statement</t>
  </si>
  <si>
    <t>Year Ended December 31,</t>
  </si>
  <si>
    <t>Assumptions</t>
  </si>
  <si>
    <t>Revenues</t>
  </si>
  <si>
    <t>Cars Sold</t>
  </si>
  <si>
    <t>Forecast</t>
  </si>
  <si>
    <t>Growth</t>
  </si>
  <si>
    <t>Average price per car</t>
  </si>
  <si>
    <t>declines to 55 as model x takes off</t>
  </si>
  <si>
    <t>Automotive sales</t>
  </si>
  <si>
    <t>Car sales</t>
  </si>
  <si>
    <t>ZEV Credits</t>
  </si>
  <si>
    <t>Percent of Automotive sales</t>
  </si>
  <si>
    <t>Powertrains</t>
  </si>
  <si>
    <t>2015 a fluke, constant</t>
  </si>
  <si>
    <t>Development services</t>
  </si>
  <si>
    <t>assume 0, so small anyways</t>
  </si>
  <si>
    <t>Services and other (powertrain, used cars)</t>
  </si>
  <si>
    <t>Ignore cause adds up to 0</t>
  </si>
  <si>
    <t>Total revenues</t>
  </si>
  <si>
    <t>Cost of revenues</t>
  </si>
  <si>
    <t>Automotive sales (excluding depreciation)</t>
  </si>
  <si>
    <t>Percent of Car &amp; Powertrain Sales</t>
  </si>
  <si>
    <t>levels off about 66%</t>
  </si>
  <si>
    <t>Percent of Dev services revenue</t>
  </si>
  <si>
    <t>Services and other</t>
  </si>
  <si>
    <t>Total cost of revenues</t>
  </si>
  <si>
    <t>Gross profit</t>
  </si>
  <si>
    <t>Operating expenses</t>
  </si>
  <si>
    <t>Research and development</t>
  </si>
  <si>
    <t>Percent of Sales</t>
  </si>
  <si>
    <t>Falls to 9%, slightly higher than BMW</t>
  </si>
  <si>
    <t>Selling, general and administrative</t>
  </si>
  <si>
    <t>Falls to 11% like BMW</t>
  </si>
  <si>
    <t>Total operating expenses</t>
  </si>
  <si>
    <t>EBITDA</t>
  </si>
  <si>
    <t>Depreciation</t>
  </si>
  <si>
    <t>Falls to 5% close to BMW</t>
  </si>
  <si>
    <t>EBIT</t>
  </si>
  <si>
    <t>Interest income</t>
  </si>
  <si>
    <t>Assume 0 cause so small</t>
  </si>
  <si>
    <t>Interest expense</t>
  </si>
  <si>
    <t>Falls to 50,000</t>
  </si>
  <si>
    <t>Other income (expense), net</t>
  </si>
  <si>
    <t>EBT</t>
  </si>
  <si>
    <t>Provision for income taxes</t>
  </si>
  <si>
    <t>assume 0 cause so small, unless positive then 35%</t>
  </si>
  <si>
    <t>Net Income</t>
  </si>
  <si>
    <t>Balance Sheet</t>
  </si>
  <si>
    <t>OCF</t>
  </si>
  <si>
    <t>Assets</t>
  </si>
  <si>
    <t>deltaFA</t>
  </si>
  <si>
    <t>Current assets</t>
  </si>
  <si>
    <t>deltaWC</t>
  </si>
  <si>
    <t>Cash and cash equivalents</t>
  </si>
  <si>
    <t>FCF</t>
  </si>
  <si>
    <t>Restricted cash and marketable securities</t>
  </si>
  <si>
    <t>WACC</t>
  </si>
  <si>
    <t>Accounts receivable</t>
  </si>
  <si>
    <t>E/(E+D)</t>
  </si>
  <si>
    <t>Inventory</t>
  </si>
  <si>
    <t>D/(E+D)</t>
  </si>
  <si>
    <t>Prepaid expenses and other current assets</t>
  </si>
  <si>
    <t>re</t>
  </si>
  <si>
    <t>Total current assets</t>
  </si>
  <si>
    <t>rf</t>
  </si>
  <si>
    <t>B</t>
  </si>
  <si>
    <t>Property, plant and equipment, net</t>
  </si>
  <si>
    <t>E[RM] - Rf</t>
  </si>
  <si>
    <t>1-tc</t>
  </si>
  <si>
    <t>Total assets</t>
  </si>
  <si>
    <t>rd</t>
  </si>
  <si>
    <t>Liabilities and Stockholders' Equity</t>
  </si>
  <si>
    <t>Vfirm calc</t>
  </si>
  <si>
    <t>Current liabilities</t>
  </si>
  <si>
    <t>Accounts payable</t>
  </si>
  <si>
    <t>Vfirm</t>
  </si>
  <si>
    <t>times 1000 to correct units</t>
  </si>
  <si>
    <t>Accrued liabilities</t>
  </si>
  <si>
    <t>Market Value Debt</t>
  </si>
  <si>
    <t>Deferred revenue</t>
  </si>
  <si>
    <t>Total Value</t>
  </si>
  <si>
    <t>Capital lease obligations</t>
  </si>
  <si>
    <t>Shares</t>
  </si>
  <si>
    <t>Resale value guarantees</t>
  </si>
  <si>
    <t>-</t>
  </si>
  <si>
    <t>Share Value</t>
  </si>
  <si>
    <t>Customer deposits</t>
  </si>
  <si>
    <t>Total current liabilities</t>
  </si>
  <si>
    <t>Long-term Debt</t>
  </si>
  <si>
    <t>Total liabilities</t>
  </si>
  <si>
    <t>Stockholders' equity:</t>
  </si>
  <si>
    <t>Common stock</t>
  </si>
  <si>
    <t>Additional paid-in capital</t>
  </si>
  <si>
    <t>Accumulated other comprehensive loss</t>
  </si>
  <si>
    <t>Retained earnings</t>
  </si>
  <si>
    <t>Total stockholders' equity</t>
  </si>
  <si>
    <t>Total liabilities and stockholders' equity</t>
  </si>
  <si>
    <t>Capital Expenditures</t>
  </si>
  <si>
    <t>LTM</t>
  </si>
  <si>
    <t>Percent of sales</t>
  </si>
  <si>
    <t>Working Capital</t>
  </si>
  <si>
    <t>Falls to 40 as tesla can only support the massive numbers with massive model x sales</t>
  </si>
  <si>
    <t>levels off about 60%, gigafactory etc. work</t>
  </si>
  <si>
    <t>Falls to 11.3%, slightly higher than BMW to support growth</t>
  </si>
  <si>
    <t>Falls to about 65 as Tesla can only survive as a luxury vehicle, but model x sells some</t>
  </si>
  <si>
    <t>Base</t>
  </si>
  <si>
    <t>Optimistic</t>
  </si>
  <si>
    <t>Pessimistic</t>
  </si>
  <si>
    <t>TAM</t>
  </si>
  <si>
    <t>SAM as % of TAM</t>
  </si>
  <si>
    <t>SAM</t>
  </si>
  <si>
    <t>SOM as % of SAM</t>
  </si>
  <si>
    <t>SOM</t>
  </si>
  <si>
    <t>Annual growth approx</t>
  </si>
  <si>
    <t>Notes:</t>
  </si>
  <si>
    <t>Nissan CEO says 10% of all cars electric in 2020</t>
  </si>
  <si>
    <t>At this growth it would be x in 2025</t>
  </si>
  <si>
    <t>Tesla also captures some of the luxury sedan market</t>
  </si>
  <si>
    <t>TAM grows at 3.6% as it did from 2012 to 2015</t>
  </si>
  <si>
    <t>TAM grows at 6% a year as it did from 2012 to 2013 fueled by the developing world</t>
  </si>
  <si>
    <t>TAM grows at 1.5% as 2014 to 2015 suggests a slowdown, Uber, etc.</t>
  </si>
  <si>
    <t>SAM grows at 21% as it did from 2014 to 2015 according to insideevs</t>
  </si>
  <si>
    <t>SAM grows according to Nisan exec's prediction to 10% in 2020 and continues at that rate to 2025 (80% annual growth)</t>
  </si>
  <si>
    <t>SAM green energy is a bust, cheap oil and gas cause people not to make the switch</t>
  </si>
  <si>
    <t xml:space="preserve">SOM </t>
  </si>
  <si>
    <t>Note that SAM is impossible if it continues at that rate so instead say it hits 95% of the market in 2025 (instead of 180%)</t>
  </si>
  <si>
    <t>Also not much growth from 2014 to 2015</t>
  </si>
  <si>
    <t>Electric vehicle number of 400,000 for SAM based on: http://insideevs.com/monthly-plug-in-sales-scorecard/</t>
  </si>
  <si>
    <t>For SOM, Tesla reaches 60%, more seems unrealistic even in the best case, even though we could claim more from the growth</t>
  </si>
  <si>
    <t>Using indideevs numbers SOM grew from 32/321 to 50/386</t>
  </si>
  <si>
    <t>SAM growth further justified by potential energy crisis or something</t>
  </si>
  <si>
    <t>As for SOM, due to competition from other luxury vehicles like Mercedes and BMW Tesla loses its share and drops to less than 5%</t>
  </si>
  <si>
    <t>So 30% annual grow for SOM</t>
  </si>
  <si>
    <t>Still, seems unrealistic to sustain with our SAM estimates, so assume less, more like 12%, if SAM is really expanding that fast other people will get in on it</t>
  </si>
  <si>
    <t>Timestamp</t>
  </si>
  <si>
    <t>Untitled Question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</si>
</sst>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"/>
  </numFmts>
  <fonts count="10">
    <font>
      <sz val="10.0"/>
      <color rgb="FF000000"/>
      <name val="Arial"/>
    </font>
    <font>
      <b/>
      <name val="Helv"/>
    </font>
    <font/>
    <font>
      <b/>
      <color rgb="FF000000"/>
      <name val="Helv"/>
    </font>
    <font>
      <b/>
      <color rgb="FF3366FF"/>
      <name val="Helv"/>
    </font>
    <font>
      <color rgb="FF3366FF"/>
      <name val="Helv"/>
    </font>
    <font>
      <name val="Helv"/>
    </font>
    <font>
      <b/>
    </font>
    <font>
      <b/>
      <sz val="18.0"/>
    </font>
    <font>
      <color rgb="FF3366FF"/>
    </font>
  </fonts>
  <fills count="3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</fills>
  <borders count="4">
    <border>
      <left/>
      <right/>
      <top/>
      <bottom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left style="thin">
        <color rgb="FFC0C0C0"/>
      </left>
      <right/>
      <top style="thin">
        <color rgb="FFC0C0C0"/>
      </top>
      <bottom style="thin">
        <color rgb="FFC0C0C0"/>
      </bottom>
    </border>
    <border>
      <left/>
      <right style="thin">
        <color rgb="FFC0C0C0"/>
      </right>
      <top style="thin">
        <color rgb="FFC0C0C0"/>
      </top>
      <bottom style="thin">
        <color rgb="FFC0C0C0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/>
    </xf>
    <xf borderId="1" fillId="2" fontId="1" numFmtId="0" xfId="0" applyAlignment="1" applyBorder="1" applyFill="1" applyFont="1">
      <alignment horizontal="left"/>
    </xf>
    <xf borderId="1" fillId="2" fontId="2" numFmtId="0" xfId="0" applyAlignment="1" applyBorder="1" applyFont="1">
      <alignment horizontal="left"/>
    </xf>
    <xf borderId="2" fillId="2" fontId="3" numFmtId="0" xfId="0" applyAlignment="1" applyBorder="1" applyFont="1">
      <alignment horizontal="center"/>
    </xf>
    <xf borderId="3" fillId="0" fontId="2" numFmtId="0" xfId="0" applyBorder="1" applyFont="1"/>
    <xf borderId="1" fillId="2" fontId="2" numFmtId="0" xfId="0" applyAlignment="1" applyBorder="1" applyFont="1">
      <alignment horizontal="right"/>
    </xf>
    <xf borderId="0" fillId="0" fontId="2" numFmtId="0" xfId="0" applyAlignment="1" applyFont="1">
      <alignment horizontal="right"/>
    </xf>
    <xf borderId="1" fillId="2" fontId="4" numFmtId="0" xfId="0" applyAlignment="1" applyBorder="1" applyFont="1">
      <alignment horizontal="left"/>
    </xf>
    <xf borderId="1" fillId="2" fontId="3" numFmtId="14" xfId="0" applyAlignment="1" applyBorder="1" applyFont="1" applyNumberFormat="1">
      <alignment horizontal="center"/>
    </xf>
    <xf borderId="1" fillId="2" fontId="1" numFmtId="0" xfId="0" applyAlignment="1" applyBorder="1" applyFont="1">
      <alignment horizontal="center"/>
    </xf>
    <xf borderId="1" fillId="2" fontId="1" numFmtId="3" xfId="0" applyAlignment="1" applyBorder="1" applyFont="1" applyNumberFormat="1">
      <alignment horizontal="right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right"/>
    </xf>
    <xf borderId="1" fillId="0" fontId="4" numFmtId="0" xfId="0" applyAlignment="1" applyBorder="1" applyFont="1">
      <alignment horizontal="left"/>
    </xf>
    <xf borderId="1" fillId="0" fontId="2" numFmtId="0" xfId="0" applyAlignment="1" applyBorder="1" applyFont="1">
      <alignment horizontal="left"/>
    </xf>
    <xf borderId="1" fillId="0" fontId="5" numFmtId="3" xfId="0" applyAlignment="1" applyBorder="1" applyFont="1" applyNumberFormat="1">
      <alignment horizontal="right" vertical="top"/>
    </xf>
    <xf borderId="0" fillId="0" fontId="6" numFmtId="0" xfId="0" applyAlignment="1" applyFont="1">
      <alignment horizontal="left"/>
    </xf>
    <xf borderId="1" fillId="0" fontId="5" numFmtId="0" xfId="0" applyAlignment="1" applyBorder="1" applyFont="1">
      <alignment horizontal="left"/>
    </xf>
    <xf borderId="1" fillId="0" fontId="2" numFmtId="0" xfId="0" applyAlignment="1" applyBorder="1" applyFont="1">
      <alignment horizontal="left" vertical="top"/>
    </xf>
    <xf borderId="0" fillId="0" fontId="5" numFmtId="9" xfId="0" applyAlignment="1" applyFont="1" applyNumberFormat="1">
      <alignment horizontal="right" vertical="top"/>
    </xf>
    <xf borderId="0" fillId="0" fontId="2" numFmtId="0" xfId="0" applyAlignment="1" applyFont="1">
      <alignment horizontal="left" vertical="top"/>
    </xf>
    <xf borderId="0" fillId="0" fontId="2" numFmtId="0" xfId="0" applyAlignment="1" applyFont="1">
      <alignment horizontal="right" vertical="top"/>
    </xf>
    <xf borderId="1" fillId="0" fontId="5" numFmtId="0" xfId="0" applyAlignment="1" applyBorder="1" applyFont="1">
      <alignment horizontal="right" vertical="top"/>
    </xf>
    <xf borderId="0" fillId="0" fontId="2" numFmtId="0" xfId="0" applyAlignment="1" applyFont="1">
      <alignment horizontal="right" vertical="top"/>
    </xf>
    <xf borderId="1" fillId="0" fontId="1" numFmtId="0" xfId="0" applyAlignment="1" applyBorder="1" applyFont="1">
      <alignment horizontal="left"/>
    </xf>
    <xf borderId="1" fillId="0" fontId="6" numFmtId="0" xfId="0" applyAlignment="1" applyBorder="1" applyFont="1">
      <alignment horizontal="left"/>
    </xf>
    <xf borderId="1" fillId="0" fontId="6" numFmtId="3" xfId="0" applyAlignment="1" applyBorder="1" applyFont="1" applyNumberFormat="1">
      <alignment horizontal="right"/>
    </xf>
    <xf borderId="0" fillId="0" fontId="6" numFmtId="3" xfId="0" applyAlignment="1" applyFont="1" applyNumberFormat="1">
      <alignment horizontal="right" vertical="top"/>
    </xf>
    <xf borderId="1" fillId="0" fontId="2" numFmtId="3" xfId="0" applyAlignment="1" applyBorder="1" applyFont="1" applyNumberFormat="1">
      <alignment horizontal="right"/>
    </xf>
    <xf borderId="1" fillId="0" fontId="6" numFmtId="0" xfId="0" applyAlignment="1" applyBorder="1" applyFont="1">
      <alignment horizontal="right"/>
    </xf>
    <xf borderId="1" fillId="0" fontId="2" numFmtId="0" xfId="0" applyAlignment="1" applyBorder="1" applyFont="1">
      <alignment horizontal="right"/>
    </xf>
    <xf borderId="1" fillId="0" fontId="5" numFmtId="0" xfId="0" applyAlignment="1" applyBorder="1" applyFont="1">
      <alignment horizontal="left" vertical="top"/>
    </xf>
    <xf borderId="1" fillId="0" fontId="5" numFmtId="9" xfId="0" applyAlignment="1" applyBorder="1" applyFont="1" applyNumberFormat="1">
      <alignment horizontal="right" vertical="top"/>
    </xf>
    <xf borderId="1" fillId="0" fontId="2" numFmtId="9" xfId="0" applyAlignment="1" applyBorder="1" applyFont="1" applyNumberFormat="1">
      <alignment horizontal="right" vertical="top"/>
    </xf>
    <xf borderId="1" fillId="0" fontId="2" numFmtId="0" xfId="0" applyAlignment="1" applyBorder="1" applyFont="1">
      <alignment horizontal="right"/>
    </xf>
    <xf borderId="0" fillId="0" fontId="2" numFmtId="9" xfId="0" applyAlignment="1" applyFont="1" applyNumberFormat="1">
      <alignment horizontal="right"/>
    </xf>
    <xf borderId="1" fillId="0" fontId="2" numFmtId="0" xfId="0" applyAlignment="1" applyBorder="1" applyFont="1">
      <alignment horizontal="right"/>
    </xf>
    <xf borderId="1" fillId="0" fontId="2" numFmtId="0" xfId="0" applyAlignment="1" applyBorder="1" applyFont="1">
      <alignment horizontal="right" vertical="top"/>
    </xf>
    <xf borderId="1" fillId="0" fontId="6" numFmtId="0" xfId="0" applyAlignment="1" applyBorder="1" applyFont="1">
      <alignment horizontal="left" vertical="top"/>
    </xf>
    <xf borderId="1" fillId="0" fontId="6" numFmtId="3" xfId="0" applyAlignment="1" applyBorder="1" applyFont="1" applyNumberFormat="1">
      <alignment horizontal="right" vertical="top"/>
    </xf>
    <xf borderId="1" fillId="0" fontId="2" numFmtId="0" xfId="0" applyAlignment="1" applyBorder="1" applyFont="1">
      <alignment horizontal="right" vertical="top"/>
    </xf>
    <xf borderId="0" fillId="0" fontId="2" numFmtId="9" xfId="0" applyAlignment="1" applyFont="1" applyNumberFormat="1">
      <alignment horizontal="right" vertical="top"/>
    </xf>
    <xf borderId="0" fillId="0" fontId="2" numFmtId="0" xfId="0" applyAlignment="1" applyFont="1">
      <alignment horizontal="right" vertical="top"/>
    </xf>
    <xf borderId="1" fillId="0" fontId="5" numFmtId="9" xfId="0" applyAlignment="1" applyBorder="1" applyFont="1" applyNumberFormat="1">
      <alignment horizontal="right"/>
    </xf>
    <xf borderId="1" fillId="0" fontId="2" numFmtId="0" xfId="0" applyAlignment="1" applyBorder="1" applyFont="1">
      <alignment horizontal="right" vertical="top"/>
    </xf>
    <xf borderId="1" fillId="0" fontId="2" numFmtId="3" xfId="0" applyAlignment="1" applyBorder="1" applyFont="1" applyNumberFormat="1">
      <alignment horizontal="right" vertical="top"/>
    </xf>
    <xf borderId="1" fillId="0" fontId="2" numFmtId="3" xfId="0" applyAlignment="1" applyBorder="1" applyFont="1" applyNumberFormat="1">
      <alignment horizontal="right"/>
    </xf>
    <xf borderId="0" fillId="0" fontId="2" numFmtId="3" xfId="0" applyAlignment="1" applyFont="1" applyNumberFormat="1">
      <alignment horizontal="right" vertical="top"/>
    </xf>
    <xf borderId="0" fillId="2" fontId="2" numFmtId="0" xfId="0" applyAlignment="1" applyFont="1">
      <alignment horizontal="left"/>
    </xf>
    <xf borderId="0" fillId="0" fontId="6" numFmtId="0" xfId="0" applyAlignment="1" applyFont="1">
      <alignment horizontal="left" vertical="top"/>
    </xf>
    <xf borderId="0" fillId="0" fontId="6" numFmtId="164" xfId="0" applyAlignment="1" applyFont="1" applyNumberFormat="1">
      <alignment horizontal="right" vertical="top"/>
    </xf>
    <xf borderId="0" fillId="0" fontId="2" numFmtId="9" xfId="0" applyAlignment="1" applyFont="1" applyNumberFormat="1">
      <alignment horizontal="right"/>
    </xf>
    <xf borderId="0" fillId="0" fontId="2" numFmtId="0" xfId="0" applyAlignment="1" applyFont="1">
      <alignment/>
    </xf>
    <xf borderId="0" fillId="0" fontId="1" numFmtId="0" xfId="0" applyAlignment="1" applyFont="1">
      <alignment horizontal="left" vertical="top"/>
    </xf>
    <xf borderId="0" fillId="0" fontId="7" numFmtId="0" xfId="0" applyAlignment="1" applyFont="1">
      <alignment horizontal="right"/>
    </xf>
    <xf borderId="0" fillId="0" fontId="7" numFmtId="0" xfId="0" applyAlignment="1" applyFont="1">
      <alignment horizontal="right"/>
    </xf>
    <xf borderId="0" fillId="0" fontId="7" numFmtId="3" xfId="0" applyAlignment="1" applyFont="1" applyNumberFormat="1">
      <alignment horizontal="right"/>
    </xf>
    <xf borderId="0" fillId="0" fontId="6" numFmtId="0" xfId="0" applyAlignment="1" applyFont="1">
      <alignment horizontal="right" vertical="top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9" numFmtId="9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worksheetdrawing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.xml"/></Relationships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9" max="9" width="43.43"/>
    <col customWidth="1" min="10" max="10" width="13.86"/>
  </cols>
  <sheetData>
    <row r="1">
      <c r="A1" s="1" t="s">
        <v>0</v>
      </c>
      <c r="B1" s="2"/>
      <c r="C1" s="2"/>
      <c r="D1" s="2"/>
      <c r="E1" s="2"/>
      <c r="F1" s="3" t="s">
        <v>1</v>
      </c>
      <c r="G1" s="4"/>
      <c r="H1" s="5"/>
      <c r="I1" s="6"/>
      <c r="J1" s="6"/>
      <c r="K1" s="6"/>
      <c r="L1" s="6"/>
    </row>
    <row r="2">
      <c r="A2" s="7" t="s">
        <v>2</v>
      </c>
      <c r="B2" s="1" t="s">
        <v>3</v>
      </c>
      <c r="C2" s="2"/>
      <c r="D2" s="2"/>
      <c r="E2" s="2"/>
      <c r="F2" s="8">
        <v>42277.0</v>
      </c>
      <c r="G2" s="8">
        <v>42277.0</v>
      </c>
      <c r="H2" s="5"/>
      <c r="I2" s="6"/>
      <c r="J2" s="6"/>
      <c r="K2" s="6"/>
      <c r="L2" s="6"/>
    </row>
    <row r="3">
      <c r="A3" s="2"/>
      <c r="B3" s="9">
        <v>2011.0</v>
      </c>
      <c r="C3" s="9">
        <v>2012.0</v>
      </c>
      <c r="D3" s="9">
        <v>2013.0</v>
      </c>
      <c r="E3" s="9">
        <v>2014.0</v>
      </c>
      <c r="F3" s="9">
        <v>2014.0</v>
      </c>
      <c r="G3" s="9">
        <v>2015.0</v>
      </c>
      <c r="H3" s="10">
        <v>2015.0</v>
      </c>
      <c r="I3" s="11" t="s">
        <v>4</v>
      </c>
      <c r="J3" s="11">
        <v>2016.0</v>
      </c>
      <c r="K3" s="12" t="str">
        <f t="shared" ref="K3:S3" si="1">J3+1</f>
        <v>2017</v>
      </c>
      <c r="L3" s="12" t="str">
        <f t="shared" si="1"/>
        <v>2018</v>
      </c>
      <c r="M3" s="12" t="str">
        <f t="shared" si="1"/>
        <v>2019</v>
      </c>
      <c r="N3" s="12" t="str">
        <f t="shared" si="1"/>
        <v>2020</v>
      </c>
      <c r="O3" s="12" t="str">
        <f t="shared" si="1"/>
        <v>2021</v>
      </c>
      <c r="P3" s="12" t="str">
        <f t="shared" si="1"/>
        <v>2022</v>
      </c>
      <c r="Q3" s="12" t="str">
        <f t="shared" si="1"/>
        <v>2023</v>
      </c>
      <c r="R3" s="12" t="str">
        <f t="shared" si="1"/>
        <v>2024</v>
      </c>
      <c r="S3" s="12" t="str">
        <f t="shared" si="1"/>
        <v>2025</v>
      </c>
    </row>
    <row r="4">
      <c r="A4" s="1" t="s">
        <v>5</v>
      </c>
      <c r="B4" s="2"/>
      <c r="C4" s="2"/>
      <c r="D4" s="2"/>
      <c r="E4" s="2"/>
      <c r="F4" s="2"/>
      <c r="G4" s="2"/>
      <c r="H4" s="5"/>
      <c r="I4" s="6"/>
      <c r="J4" s="6"/>
      <c r="K4" s="6"/>
      <c r="L4" s="6"/>
    </row>
    <row r="5">
      <c r="A5" s="13" t="s">
        <v>6</v>
      </c>
      <c r="B5" s="14"/>
      <c r="C5" s="15">
        <v>2650.0</v>
      </c>
      <c r="D5" s="15">
        <v>22447.0</v>
      </c>
      <c r="E5" s="15">
        <v>31655.0</v>
      </c>
      <c r="F5" s="15">
        <v>24127.0</v>
      </c>
      <c r="G5" s="15">
        <v>34634.0</v>
      </c>
      <c r="H5" s="15">
        <v>50000.0</v>
      </c>
      <c r="I5" s="16" t="s">
        <v>7</v>
      </c>
      <c r="J5" s="6" t="str">
        <f>(1.404*50000)</f>
        <v>70200</v>
      </c>
      <c r="K5" s="12" t="str">
        <f t="shared" ref="K5:S5" si="2">1.404*J5</f>
        <v>98560.8</v>
      </c>
      <c r="L5" s="12" t="str">
        <f t="shared" si="2"/>
        <v>138379.3632</v>
      </c>
      <c r="M5" s="12" t="str">
        <f t="shared" si="2"/>
        <v>194284.6259</v>
      </c>
      <c r="N5" s="12" t="str">
        <f t="shared" si="2"/>
        <v>272775.6148</v>
      </c>
      <c r="O5" s="12" t="str">
        <f t="shared" si="2"/>
        <v>382976.9632</v>
      </c>
      <c r="P5" s="12" t="str">
        <f t="shared" si="2"/>
        <v>537699.6563</v>
      </c>
      <c r="Q5" s="12" t="str">
        <f t="shared" si="2"/>
        <v>754930.3175</v>
      </c>
      <c r="R5" s="12" t="str">
        <f t="shared" si="2"/>
        <v>1059922.166</v>
      </c>
      <c r="S5" s="12" t="str">
        <f t="shared" si="2"/>
        <v>1488130.721</v>
      </c>
    </row>
    <row r="6">
      <c r="A6" s="17" t="s">
        <v>8</v>
      </c>
      <c r="B6" s="14"/>
      <c r="C6" s="18"/>
      <c r="D6" s="19">
        <v>7.47</v>
      </c>
      <c r="E6" s="19">
        <v>0.41</v>
      </c>
      <c r="F6" s="20"/>
      <c r="G6" s="19">
        <v>0.44</v>
      </c>
      <c r="H6" s="21"/>
      <c r="I6" s="6"/>
      <c r="J6" s="6"/>
      <c r="K6" s="6"/>
      <c r="L6" s="6"/>
    </row>
    <row r="7">
      <c r="A7" s="17" t="s">
        <v>9</v>
      </c>
      <c r="B7" s="14"/>
      <c r="C7" s="22">
        <v>118.0</v>
      </c>
      <c r="D7" s="22">
        <v>78.0</v>
      </c>
      <c r="E7" s="22">
        <v>90.0</v>
      </c>
      <c r="F7" s="22">
        <v>93.0</v>
      </c>
      <c r="G7" s="22">
        <v>76.0</v>
      </c>
      <c r="H7" s="23" t="str">
        <f>H9/H5</f>
        <v>75.766</v>
      </c>
      <c r="I7" s="11" t="s">
        <v>10</v>
      </c>
      <c r="J7" s="6" t="str">
        <f>0.97*75.766</f>
        <v>73.49302</v>
      </c>
      <c r="K7" s="12" t="str">
        <f t="shared" ref="K7:S7" si="3">0.97*J7</f>
        <v>71.2882294</v>
      </c>
      <c r="L7" s="12" t="str">
        <f t="shared" si="3"/>
        <v>69.14958252</v>
      </c>
      <c r="M7" s="12" t="str">
        <f t="shared" si="3"/>
        <v>67.07509504</v>
      </c>
      <c r="N7" s="12" t="str">
        <f t="shared" si="3"/>
        <v>65.06284219</v>
      </c>
      <c r="O7" s="12" t="str">
        <f t="shared" si="3"/>
        <v>63.11095693</v>
      </c>
      <c r="P7" s="12" t="str">
        <f t="shared" si="3"/>
        <v>61.21762822</v>
      </c>
      <c r="Q7" s="12" t="str">
        <f t="shared" si="3"/>
        <v>59.38109937</v>
      </c>
      <c r="R7" s="12" t="str">
        <f t="shared" si="3"/>
        <v>57.59966639</v>
      </c>
      <c r="S7" s="12" t="str">
        <f t="shared" si="3"/>
        <v>55.8716764</v>
      </c>
    </row>
    <row r="8">
      <c r="A8" s="24" t="s">
        <v>5</v>
      </c>
      <c r="B8" s="14"/>
      <c r="C8" s="18"/>
      <c r="D8" s="18"/>
      <c r="E8" s="20"/>
      <c r="F8" s="18"/>
      <c r="G8" s="18"/>
      <c r="H8" s="21"/>
      <c r="I8" s="6"/>
      <c r="J8" s="6"/>
      <c r="K8" s="6"/>
      <c r="L8" s="6"/>
    </row>
    <row r="9">
      <c r="A9" s="25" t="s">
        <v>11</v>
      </c>
      <c r="B9" s="26">
        <v>148568.0</v>
      </c>
      <c r="C9" s="26">
        <v>385699.0</v>
      </c>
      <c r="D9" s="26">
        <v>1997786.0</v>
      </c>
      <c r="E9" s="27">
        <v>3192723.0</v>
      </c>
      <c r="F9" s="26">
        <v>2236062.0</v>
      </c>
      <c r="G9" s="26">
        <v>2623965.0</v>
      </c>
      <c r="H9" s="26">
        <v>3788300.0</v>
      </c>
      <c r="I9" s="16"/>
      <c r="J9" s="12" t="str">
        <f t="shared" ref="J9:S9" si="4">J5*J7</f>
        <v>5159210.004</v>
      </c>
      <c r="K9" s="12" t="str">
        <f t="shared" si="4"/>
        <v>7026224.92</v>
      </c>
      <c r="L9" s="12" t="str">
        <f t="shared" si="4"/>
        <v>9568875.194</v>
      </c>
      <c r="M9" s="12" t="str">
        <f t="shared" si="4"/>
        <v>13031659.75</v>
      </c>
      <c r="N9" s="12" t="str">
        <f t="shared" si="4"/>
        <v>17747556.78</v>
      </c>
      <c r="O9" s="12" t="str">
        <f t="shared" si="4"/>
        <v>24170042.63</v>
      </c>
      <c r="P9" s="12" t="str">
        <f t="shared" si="4"/>
        <v>32916697.65</v>
      </c>
      <c r="Q9" s="12" t="str">
        <f t="shared" si="4"/>
        <v>44828592.2</v>
      </c>
      <c r="R9" s="12" t="str">
        <f t="shared" si="4"/>
        <v>61051163.15</v>
      </c>
      <c r="S9" s="12" t="str">
        <f t="shared" si="4"/>
        <v>83144358.07</v>
      </c>
    </row>
    <row r="10">
      <c r="A10" s="25" t="s">
        <v>12</v>
      </c>
      <c r="B10" s="26">
        <v>99008.0</v>
      </c>
      <c r="C10" s="26">
        <v>313844.0</v>
      </c>
      <c r="D10" s="26">
        <v>1758284.0</v>
      </c>
      <c r="E10" s="26">
        <v>2863115.0</v>
      </c>
      <c r="F10" s="26">
        <v>1906454.0</v>
      </c>
      <c r="G10" s="14"/>
      <c r="H10" s="28" t="str">
        <f>H9</f>
        <v>3,788,300</v>
      </c>
      <c r="I10" s="6"/>
      <c r="J10" s="6" t="str">
        <f t="shared" ref="J10:S10" si="5">0</f>
        <v>0</v>
      </c>
      <c r="K10" s="6" t="str">
        <f t="shared" si="5"/>
        <v>0</v>
      </c>
      <c r="L10" s="6" t="str">
        <f t="shared" si="5"/>
        <v>0</v>
      </c>
      <c r="M10" s="6" t="str">
        <f t="shared" si="5"/>
        <v>0</v>
      </c>
      <c r="N10" s="6" t="str">
        <f t="shared" si="5"/>
        <v>0</v>
      </c>
      <c r="O10" s="6" t="str">
        <f t="shared" si="5"/>
        <v>0</v>
      </c>
      <c r="P10" s="6" t="str">
        <f t="shared" si="5"/>
        <v>0</v>
      </c>
      <c r="Q10" s="6" t="str">
        <f t="shared" si="5"/>
        <v>0</v>
      </c>
      <c r="R10" s="6" t="str">
        <f t="shared" si="5"/>
        <v>0</v>
      </c>
      <c r="S10" s="6" t="str">
        <f t="shared" si="5"/>
        <v>0</v>
      </c>
    </row>
    <row r="11">
      <c r="A11" s="25" t="s">
        <v>13</v>
      </c>
      <c r="B11" s="26">
        <v>2700.0</v>
      </c>
      <c r="C11" s="26">
        <v>40500.0</v>
      </c>
      <c r="D11" s="26">
        <v>194400.0</v>
      </c>
      <c r="E11" s="26">
        <v>216300.0</v>
      </c>
      <c r="F11" s="26">
        <v>216300.0</v>
      </c>
      <c r="G11" s="29">
        <v>0.0</v>
      </c>
      <c r="H11" s="30">
        <v>0.0</v>
      </c>
      <c r="I11" s="6"/>
      <c r="J11" s="6" t="str">
        <f t="shared" ref="J11:J12" si="7">0</f>
        <v>0</v>
      </c>
      <c r="K11" s="12" t="str">
        <f t="shared" ref="K11:S11" si="6">J11</f>
        <v>0</v>
      </c>
      <c r="L11" s="12" t="str">
        <f t="shared" si="6"/>
        <v>0</v>
      </c>
      <c r="M11" s="12" t="str">
        <f t="shared" si="6"/>
        <v>0</v>
      </c>
      <c r="N11" s="12" t="str">
        <f t="shared" si="6"/>
        <v>0</v>
      </c>
      <c r="O11" s="12" t="str">
        <f t="shared" si="6"/>
        <v>0</v>
      </c>
      <c r="P11" s="12" t="str">
        <f t="shared" si="6"/>
        <v>0</v>
      </c>
      <c r="Q11" s="12" t="str">
        <f t="shared" si="6"/>
        <v>0</v>
      </c>
      <c r="R11" s="12" t="str">
        <f t="shared" si="6"/>
        <v>0</v>
      </c>
      <c r="S11" s="12" t="str">
        <f t="shared" si="6"/>
        <v>0</v>
      </c>
    </row>
    <row r="12">
      <c r="A12" s="31" t="s">
        <v>14</v>
      </c>
      <c r="B12" s="32">
        <v>0.02</v>
      </c>
      <c r="C12" s="32">
        <v>0.11</v>
      </c>
      <c r="D12" s="32">
        <v>0.1</v>
      </c>
      <c r="E12" s="32">
        <v>0.07</v>
      </c>
      <c r="F12" s="32">
        <v>0.1</v>
      </c>
      <c r="G12" s="32">
        <v>0.0</v>
      </c>
      <c r="H12" s="33">
        <v>0.0</v>
      </c>
      <c r="I12" s="6"/>
      <c r="J12" s="6" t="str">
        <f t="shared" si="7"/>
        <v>0</v>
      </c>
      <c r="K12" s="6" t="str">
        <f t="shared" ref="K12:S12" si="8">0</f>
        <v>0</v>
      </c>
      <c r="L12" s="6" t="str">
        <f t="shared" si="8"/>
        <v>0</v>
      </c>
      <c r="M12" s="6" t="str">
        <f t="shared" si="8"/>
        <v>0</v>
      </c>
      <c r="N12" s="6" t="str">
        <f t="shared" si="8"/>
        <v>0</v>
      </c>
      <c r="O12" s="6" t="str">
        <f t="shared" si="8"/>
        <v>0</v>
      </c>
      <c r="P12" s="6" t="str">
        <f t="shared" si="8"/>
        <v>0</v>
      </c>
      <c r="Q12" s="6" t="str">
        <f t="shared" si="8"/>
        <v>0</v>
      </c>
      <c r="R12" s="6" t="str">
        <f t="shared" si="8"/>
        <v>0</v>
      </c>
      <c r="S12" s="6" t="str">
        <f t="shared" si="8"/>
        <v>0</v>
      </c>
    </row>
    <row r="13">
      <c r="A13" s="25" t="s">
        <v>15</v>
      </c>
      <c r="B13" s="26">
        <v>46860.0</v>
      </c>
      <c r="C13" s="26">
        <v>31355.0</v>
      </c>
      <c r="D13" s="26">
        <v>45102.0</v>
      </c>
      <c r="E13" s="26">
        <v>113308.0</v>
      </c>
      <c r="F13" s="26">
        <v>113308.0</v>
      </c>
      <c r="G13" s="29">
        <v>0.0</v>
      </c>
      <c r="H13" s="34" t="str">
        <f>H9*H14</f>
        <v>113649</v>
      </c>
      <c r="I13" s="6"/>
      <c r="J13" s="12" t="str">
        <f t="shared" ref="J13:S13" si="9">J9*J14</f>
        <v>154776.3001</v>
      </c>
      <c r="K13" s="12" t="str">
        <f t="shared" si="9"/>
        <v>210786.7476</v>
      </c>
      <c r="L13" s="12" t="str">
        <f t="shared" si="9"/>
        <v>287066.2558</v>
      </c>
      <c r="M13" s="12" t="str">
        <f t="shared" si="9"/>
        <v>390949.7925</v>
      </c>
      <c r="N13" s="12" t="str">
        <f t="shared" si="9"/>
        <v>532426.7034</v>
      </c>
      <c r="O13" s="12" t="str">
        <f t="shared" si="9"/>
        <v>725101.2788</v>
      </c>
      <c r="P13" s="12" t="str">
        <f t="shared" si="9"/>
        <v>987500.9296</v>
      </c>
      <c r="Q13" s="12" t="str">
        <f t="shared" si="9"/>
        <v>1344857.766</v>
      </c>
      <c r="R13" s="12" t="str">
        <f t="shared" si="9"/>
        <v>1831534.894</v>
      </c>
      <c r="S13" s="12" t="str">
        <f t="shared" si="9"/>
        <v>2494330.742</v>
      </c>
    </row>
    <row r="14">
      <c r="A14" s="31" t="s">
        <v>14</v>
      </c>
      <c r="B14" s="32">
        <v>0.32</v>
      </c>
      <c r="C14" s="32">
        <v>0.08</v>
      </c>
      <c r="D14" s="32">
        <v>0.02</v>
      </c>
      <c r="E14" s="32">
        <v>0.04</v>
      </c>
      <c r="F14" s="32">
        <v>0.05</v>
      </c>
      <c r="G14" s="32">
        <v>0.0</v>
      </c>
      <c r="H14" s="33">
        <v>0.03</v>
      </c>
      <c r="I14" s="11" t="s">
        <v>16</v>
      </c>
      <c r="J14" s="35">
        <v>0.03</v>
      </c>
      <c r="K14" s="35">
        <v>0.03</v>
      </c>
      <c r="L14" s="35">
        <v>0.03</v>
      </c>
      <c r="M14" s="35">
        <v>0.03</v>
      </c>
      <c r="N14" s="35">
        <v>0.03</v>
      </c>
      <c r="O14" s="35">
        <v>0.03</v>
      </c>
      <c r="P14" s="35">
        <v>0.03</v>
      </c>
      <c r="Q14" s="35">
        <v>0.03</v>
      </c>
      <c r="R14" s="35">
        <v>0.03</v>
      </c>
      <c r="S14" s="35">
        <v>0.03</v>
      </c>
    </row>
    <row r="15">
      <c r="A15" s="25" t="s">
        <v>17</v>
      </c>
      <c r="B15" s="26">
        <v>55674.0</v>
      </c>
      <c r="C15" s="26">
        <v>27557.0</v>
      </c>
      <c r="D15" s="26">
        <v>15710.0</v>
      </c>
      <c r="E15" s="26">
        <v>5633.0</v>
      </c>
      <c r="F15" s="26">
        <v>5633.0</v>
      </c>
      <c r="G15" s="29">
        <v>0.0</v>
      </c>
      <c r="H15" s="30">
        <v>0.0</v>
      </c>
      <c r="I15" s="11" t="s">
        <v>18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1">
        <v>0.0</v>
      </c>
      <c r="P15" s="11">
        <v>0.0</v>
      </c>
      <c r="Q15" s="11">
        <v>0.0</v>
      </c>
      <c r="R15" s="11">
        <v>0.0</v>
      </c>
      <c r="S15" s="11">
        <v>0.0</v>
      </c>
    </row>
    <row r="16">
      <c r="A16" s="25" t="s">
        <v>19</v>
      </c>
      <c r="B16" s="14"/>
      <c r="C16" s="14"/>
      <c r="D16" s="14"/>
      <c r="E16" s="14"/>
      <c r="F16" s="14"/>
      <c r="G16" s="26">
        <v>207680.0</v>
      </c>
      <c r="H16" s="23" t="str">
        <f>(G16/G9)*H9</f>
        <v>299834.0847</v>
      </c>
      <c r="I16" s="11" t="s">
        <v>20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1">
        <v>0.0</v>
      </c>
      <c r="P16" s="11">
        <v>0.0</v>
      </c>
      <c r="Q16" s="11">
        <v>0.0</v>
      </c>
      <c r="R16" s="11">
        <v>0.0</v>
      </c>
      <c r="S16" s="11">
        <v>0.0</v>
      </c>
    </row>
    <row r="17">
      <c r="A17" s="25" t="s">
        <v>21</v>
      </c>
      <c r="B17" s="26">
        <v>204242.0</v>
      </c>
      <c r="C17" s="26">
        <v>413256.0</v>
      </c>
      <c r="D17" s="26">
        <v>2013496.0</v>
      </c>
      <c r="E17" s="26">
        <v>3198356.0</v>
      </c>
      <c r="F17" s="26">
        <v>2241695.0</v>
      </c>
      <c r="G17" s="26">
        <v>2831645.0</v>
      </c>
      <c r="H17" s="28" t="str">
        <f>sum(H9+H13+H16)</f>
        <v>4,201,783</v>
      </c>
      <c r="I17" s="6"/>
      <c r="J17" s="12" t="str">
        <f t="shared" ref="J17:S17" si="10">sum(J9:J16)</f>
        <v>5313986.334</v>
      </c>
      <c r="K17" s="12" t="str">
        <f t="shared" si="10"/>
        <v>7237011.698</v>
      </c>
      <c r="L17" s="12" t="str">
        <f t="shared" si="10"/>
        <v>9855941.48</v>
      </c>
      <c r="M17" s="12" t="str">
        <f t="shared" si="10"/>
        <v>13422609.57</v>
      </c>
      <c r="N17" s="12" t="str">
        <f t="shared" si="10"/>
        <v>18279983.51</v>
      </c>
      <c r="O17" s="12" t="str">
        <f t="shared" si="10"/>
        <v>24895143.94</v>
      </c>
      <c r="P17" s="12" t="str">
        <f t="shared" si="10"/>
        <v>33904198.61</v>
      </c>
      <c r="Q17" s="12" t="str">
        <f t="shared" si="10"/>
        <v>46173450</v>
      </c>
      <c r="R17" s="12" t="str">
        <f t="shared" si="10"/>
        <v>62882698.07</v>
      </c>
      <c r="S17" s="12" t="str">
        <f t="shared" si="10"/>
        <v>85638688.84</v>
      </c>
    </row>
    <row r="18">
      <c r="A18" s="14"/>
      <c r="B18" s="14"/>
      <c r="C18" s="14"/>
      <c r="D18" s="14"/>
      <c r="E18" s="14"/>
      <c r="F18" s="14"/>
      <c r="G18" s="14"/>
      <c r="H18" s="36"/>
      <c r="I18" s="6"/>
      <c r="J18" s="6"/>
      <c r="K18" s="6"/>
      <c r="L18" s="6"/>
    </row>
    <row r="19">
      <c r="A19" s="24" t="s">
        <v>22</v>
      </c>
      <c r="B19" s="18"/>
      <c r="C19" s="18"/>
      <c r="D19" s="18"/>
      <c r="E19" s="18"/>
      <c r="F19" s="14"/>
      <c r="G19" s="14"/>
      <c r="H19" s="36"/>
      <c r="I19" s="6"/>
      <c r="J19" s="6"/>
      <c r="K19" s="6"/>
      <c r="L19" s="6"/>
    </row>
    <row r="20">
      <c r="A20" s="25" t="s">
        <v>23</v>
      </c>
      <c r="B20" s="26">
        <v>98563.0</v>
      </c>
      <c r="C20" s="26">
        <v>342833.0</v>
      </c>
      <c r="D20" s="26">
        <v>1437795.0</v>
      </c>
      <c r="E20" s="27">
        <v>2078080.0</v>
      </c>
      <c r="F20" s="26">
        <v>1451092.0</v>
      </c>
      <c r="G20" s="26">
        <v>1647993.0</v>
      </c>
      <c r="H20" s="34" t="str">
        <f>(H10+H13)*H21</f>
        <v>2536266.85</v>
      </c>
      <c r="I20" s="6"/>
      <c r="J20" s="12" t="str">
        <f t="shared" ref="J20:S20" si="11">J17*J21</f>
        <v>3507230.981</v>
      </c>
      <c r="K20" s="12" t="str">
        <f t="shared" si="11"/>
        <v>4776427.721</v>
      </c>
      <c r="L20" s="12" t="str">
        <f t="shared" si="11"/>
        <v>6504921.377</v>
      </c>
      <c r="M20" s="12" t="str">
        <f t="shared" si="11"/>
        <v>8858922.318</v>
      </c>
      <c r="N20" s="12" t="str">
        <f t="shared" si="11"/>
        <v>12064789.12</v>
      </c>
      <c r="O20" s="12" t="str">
        <f t="shared" si="11"/>
        <v>16430795</v>
      </c>
      <c r="P20" s="12" t="str">
        <f t="shared" si="11"/>
        <v>22376771.08</v>
      </c>
      <c r="Q20" s="12" t="str">
        <f t="shared" si="11"/>
        <v>30474477</v>
      </c>
      <c r="R20" s="12" t="str">
        <f t="shared" si="11"/>
        <v>41502580.73</v>
      </c>
      <c r="S20" s="12" t="str">
        <f t="shared" si="11"/>
        <v>56521534.63</v>
      </c>
    </row>
    <row r="21">
      <c r="A21" s="31" t="s">
        <v>24</v>
      </c>
      <c r="B21" s="32">
        <v>0.68</v>
      </c>
      <c r="C21" s="32">
        <v>0.99</v>
      </c>
      <c r="D21" s="32">
        <v>0.8</v>
      </c>
      <c r="E21" s="32">
        <v>0.7</v>
      </c>
      <c r="F21" s="32">
        <v>0.72</v>
      </c>
      <c r="G21" s="32">
        <v>0.63</v>
      </c>
      <c r="H21" s="33">
        <v>0.65</v>
      </c>
      <c r="I21" s="11" t="s">
        <v>25</v>
      </c>
      <c r="J21" s="6" t="str">
        <f t="shared" ref="J21:S21" si="12">0.66</f>
        <v>0.66</v>
      </c>
      <c r="K21" s="6" t="str">
        <f t="shared" si="12"/>
        <v>0.66</v>
      </c>
      <c r="L21" s="6" t="str">
        <f t="shared" si="12"/>
        <v>0.66</v>
      </c>
      <c r="M21" s="6" t="str">
        <f t="shared" si="12"/>
        <v>0.66</v>
      </c>
      <c r="N21" s="6" t="str">
        <f t="shared" si="12"/>
        <v>0.66</v>
      </c>
      <c r="O21" s="6" t="str">
        <f t="shared" si="12"/>
        <v>0.66</v>
      </c>
      <c r="P21" s="6" t="str">
        <f t="shared" si="12"/>
        <v>0.66</v>
      </c>
      <c r="Q21" s="6" t="str">
        <f t="shared" si="12"/>
        <v>0.66</v>
      </c>
      <c r="R21" s="6" t="str">
        <f t="shared" si="12"/>
        <v>0.66</v>
      </c>
      <c r="S21" s="6" t="str">
        <f t="shared" si="12"/>
        <v>0.66</v>
      </c>
    </row>
    <row r="22">
      <c r="A22" s="25" t="s">
        <v>17</v>
      </c>
      <c r="B22" s="26">
        <v>27165.0</v>
      </c>
      <c r="C22" s="26">
        <v>11531.0</v>
      </c>
      <c r="D22" s="26">
        <v>13356.0</v>
      </c>
      <c r="E22" s="27">
        <v>6674.0</v>
      </c>
      <c r="F22" s="26">
        <v>6674.0</v>
      </c>
      <c r="G22" s="29">
        <v>0.0</v>
      </c>
      <c r="H22" s="30">
        <v>0.0</v>
      </c>
      <c r="J22" s="11">
        <v>0.0</v>
      </c>
      <c r="K22" s="11">
        <v>0.0</v>
      </c>
      <c r="L22" s="11">
        <v>0.0</v>
      </c>
      <c r="M22" s="11">
        <v>0.0</v>
      </c>
      <c r="N22" s="11">
        <v>0.0</v>
      </c>
      <c r="O22" s="11">
        <v>0.0</v>
      </c>
      <c r="P22" s="11">
        <v>0.0</v>
      </c>
      <c r="Q22" s="11">
        <v>0.0</v>
      </c>
      <c r="R22" s="11">
        <v>0.0</v>
      </c>
      <c r="S22" s="11">
        <v>0.0</v>
      </c>
    </row>
    <row r="23">
      <c r="A23" s="31" t="s">
        <v>26</v>
      </c>
      <c r="B23" s="32">
        <v>0.49</v>
      </c>
      <c r="C23" s="32">
        <v>0.42</v>
      </c>
      <c r="D23" s="32">
        <v>0.85</v>
      </c>
      <c r="E23" s="32">
        <v>1.18</v>
      </c>
      <c r="F23" s="18"/>
      <c r="G23" s="18"/>
      <c r="H23" s="37">
        <v>0.0</v>
      </c>
      <c r="I23" s="6"/>
      <c r="J23" s="11">
        <v>0.0</v>
      </c>
      <c r="K23" s="11">
        <v>0.0</v>
      </c>
      <c r="L23" s="11">
        <v>0.0</v>
      </c>
      <c r="M23" s="11">
        <v>0.0</v>
      </c>
      <c r="N23" s="11">
        <v>0.0</v>
      </c>
      <c r="O23" s="11">
        <v>0.0</v>
      </c>
      <c r="P23" s="11">
        <v>0.0</v>
      </c>
      <c r="Q23" s="11">
        <v>0.0</v>
      </c>
      <c r="R23" s="11">
        <v>0.0</v>
      </c>
      <c r="S23" s="11">
        <v>0.0</v>
      </c>
    </row>
    <row r="24">
      <c r="A24" s="38" t="s">
        <v>27</v>
      </c>
      <c r="B24" s="18"/>
      <c r="C24" s="18"/>
      <c r="D24" s="18"/>
      <c r="E24" s="18"/>
      <c r="F24" s="18"/>
      <c r="G24" s="39">
        <v>199846.0</v>
      </c>
      <c r="H24" s="40" t="str">
        <f>(G24/G16)*H16</f>
        <v>288523.8949</v>
      </c>
      <c r="I24" s="11" t="s">
        <v>20</v>
      </c>
      <c r="J24" s="11">
        <v>0.0</v>
      </c>
      <c r="K24" s="11">
        <v>0.0</v>
      </c>
      <c r="L24" s="11">
        <v>0.0</v>
      </c>
      <c r="M24" s="11">
        <v>0.0</v>
      </c>
      <c r="N24" s="11">
        <v>0.0</v>
      </c>
      <c r="O24" s="11">
        <v>0.0</v>
      </c>
      <c r="P24" s="11">
        <v>0.0</v>
      </c>
      <c r="Q24" s="11">
        <v>0.0</v>
      </c>
      <c r="R24" s="11">
        <v>0.0</v>
      </c>
      <c r="S24" s="11">
        <v>0.0</v>
      </c>
    </row>
    <row r="25">
      <c r="A25" s="25" t="s">
        <v>28</v>
      </c>
      <c r="B25" s="26">
        <v>125728.0</v>
      </c>
      <c r="C25" s="26">
        <v>354364.0</v>
      </c>
      <c r="D25" s="26">
        <v>1451151.0</v>
      </c>
      <c r="E25" s="26">
        <v>2084754.0</v>
      </c>
      <c r="F25" s="26">
        <v>1457766.0</v>
      </c>
      <c r="G25" s="26">
        <v>1847839.0</v>
      </c>
      <c r="H25" s="34" t="str">
        <f>H20+H24</f>
        <v>2824790.745</v>
      </c>
      <c r="I25" s="6"/>
      <c r="J25" s="12" t="str">
        <f t="shared" ref="J25:S25" si="13">J20</f>
        <v>3507230.981</v>
      </c>
      <c r="K25" s="12" t="str">
        <f t="shared" si="13"/>
        <v>4776427.721</v>
      </c>
      <c r="L25" s="12" t="str">
        <f t="shared" si="13"/>
        <v>6504921.377</v>
      </c>
      <c r="M25" s="12" t="str">
        <f t="shared" si="13"/>
        <v>8858922.318</v>
      </c>
      <c r="N25" s="12" t="str">
        <f t="shared" si="13"/>
        <v>12064789.12</v>
      </c>
      <c r="O25" s="12" t="str">
        <f t="shared" si="13"/>
        <v>16430795</v>
      </c>
      <c r="P25" s="12" t="str">
        <f t="shared" si="13"/>
        <v>22376771.08</v>
      </c>
      <c r="Q25" s="12" t="str">
        <f t="shared" si="13"/>
        <v>30474477</v>
      </c>
      <c r="R25" s="12" t="str">
        <f t="shared" si="13"/>
        <v>41502580.73</v>
      </c>
      <c r="S25" s="12" t="str">
        <f t="shared" si="13"/>
        <v>56521534.63</v>
      </c>
    </row>
    <row r="26">
      <c r="A26" s="25" t="s">
        <v>29</v>
      </c>
      <c r="B26" s="26">
        <v>78514.0</v>
      </c>
      <c r="C26" s="26">
        <v>58892.0</v>
      </c>
      <c r="D26" s="26">
        <v>562345.0</v>
      </c>
      <c r="E26" s="26">
        <v>1113602.0</v>
      </c>
      <c r="F26" s="26">
        <v>619974.0</v>
      </c>
      <c r="G26" s="26">
        <v>983806.0</v>
      </c>
      <c r="H26" s="28" t="str">
        <f>H17-H25</f>
        <v>1,376,992</v>
      </c>
      <c r="I26" s="6"/>
      <c r="J26" s="12" t="str">
        <f t="shared" ref="J26:S26" si="14">J17-J25</f>
        <v>1806755.354</v>
      </c>
      <c r="K26" s="12" t="str">
        <f t="shared" si="14"/>
        <v>2460583.977</v>
      </c>
      <c r="L26" s="12" t="str">
        <f t="shared" si="14"/>
        <v>3351020.103</v>
      </c>
      <c r="M26" s="12" t="str">
        <f t="shared" si="14"/>
        <v>4563687.255</v>
      </c>
      <c r="N26" s="12" t="str">
        <f t="shared" si="14"/>
        <v>6215194.395</v>
      </c>
      <c r="O26" s="12" t="str">
        <f t="shared" si="14"/>
        <v>8464348.938</v>
      </c>
      <c r="P26" s="12" t="str">
        <f t="shared" si="14"/>
        <v>11527427.53</v>
      </c>
      <c r="Q26" s="12" t="str">
        <f t="shared" si="14"/>
        <v>15698973</v>
      </c>
      <c r="R26" s="12" t="str">
        <f t="shared" si="14"/>
        <v>21380117.34</v>
      </c>
      <c r="S26" s="12" t="str">
        <f t="shared" si="14"/>
        <v>29117154.2</v>
      </c>
    </row>
    <row r="27">
      <c r="A27" s="14"/>
      <c r="B27" s="19">
        <v>0.53</v>
      </c>
      <c r="C27" s="19">
        <v>0.15</v>
      </c>
      <c r="D27" s="19">
        <v>0.28</v>
      </c>
      <c r="E27" s="19">
        <v>0.35</v>
      </c>
      <c r="F27" s="19">
        <v>0.28</v>
      </c>
      <c r="G27" s="19">
        <v>0.37</v>
      </c>
      <c r="H27" s="34" t="str">
        <f>H26/H17</f>
        <v>0.3277161891</v>
      </c>
      <c r="I27" s="6"/>
      <c r="J27" s="12" t="str">
        <f t="shared" ref="J27:S27" si="15">J26/J17</f>
        <v>0.34</v>
      </c>
      <c r="K27" s="12" t="str">
        <f t="shared" si="15"/>
        <v>0.34</v>
      </c>
      <c r="L27" s="12" t="str">
        <f t="shared" si="15"/>
        <v>0.34</v>
      </c>
      <c r="M27" s="12" t="str">
        <f t="shared" si="15"/>
        <v>0.34</v>
      </c>
      <c r="N27" s="12" t="str">
        <f t="shared" si="15"/>
        <v>0.34</v>
      </c>
      <c r="O27" s="12" t="str">
        <f t="shared" si="15"/>
        <v>0.34</v>
      </c>
      <c r="P27" s="12" t="str">
        <f t="shared" si="15"/>
        <v>0.34</v>
      </c>
      <c r="Q27" s="12" t="str">
        <f t="shared" si="15"/>
        <v>0.34</v>
      </c>
      <c r="R27" s="12" t="str">
        <f t="shared" si="15"/>
        <v>0.34</v>
      </c>
      <c r="S27" s="12" t="str">
        <f t="shared" si="15"/>
        <v>0.34</v>
      </c>
    </row>
    <row r="28">
      <c r="A28" s="24" t="s">
        <v>30</v>
      </c>
      <c r="B28" s="14"/>
      <c r="C28" s="14"/>
      <c r="D28" s="14"/>
      <c r="E28" s="14"/>
      <c r="F28" s="14"/>
      <c r="G28" s="14"/>
      <c r="H28" s="36"/>
      <c r="I28" s="6"/>
      <c r="J28" s="6"/>
      <c r="K28" s="6"/>
      <c r="L28" s="6"/>
    </row>
    <row r="29">
      <c r="A29" s="25" t="s">
        <v>31</v>
      </c>
      <c r="B29" s="26">
        <v>208981.0</v>
      </c>
      <c r="C29" s="26">
        <v>273978.0</v>
      </c>
      <c r="D29" s="26">
        <v>231976.0</v>
      </c>
      <c r="E29" s="27">
        <v>464700.0</v>
      </c>
      <c r="F29" s="26">
        <v>325135.0</v>
      </c>
      <c r="G29" s="27">
        <v>527657.0</v>
      </c>
      <c r="H29" s="34" t="str">
        <f>H17*H30</f>
        <v>798338.7861</v>
      </c>
      <c r="I29" s="6"/>
      <c r="J29" s="12" t="str">
        <f t="shared" ref="J29:S29" si="16">J30*J17</f>
        <v>938981.3852</v>
      </c>
      <c r="K29" s="12" t="str">
        <f t="shared" si="16"/>
        <v>1189265.369</v>
      </c>
      <c r="L29" s="12" t="str">
        <f t="shared" si="16"/>
        <v>1506262.149</v>
      </c>
      <c r="M29" s="12" t="str">
        <f t="shared" si="16"/>
        <v>1907753.913</v>
      </c>
      <c r="N29" s="12" t="str">
        <f t="shared" si="16"/>
        <v>2416262.665</v>
      </c>
      <c r="O29" s="12" t="str">
        <f t="shared" si="16"/>
        <v>3060313.611</v>
      </c>
      <c r="P29" s="12" t="str">
        <f t="shared" si="16"/>
        <v>3876035.306</v>
      </c>
      <c r="Q29" s="12" t="str">
        <f t="shared" si="16"/>
        <v>4909186.314</v>
      </c>
      <c r="R29" s="12" t="str">
        <f t="shared" si="16"/>
        <v>6217722.071</v>
      </c>
      <c r="S29" s="12" t="str">
        <f t="shared" si="16"/>
        <v>7875045.939</v>
      </c>
    </row>
    <row r="30">
      <c r="A30" s="31" t="s">
        <v>32</v>
      </c>
      <c r="B30" s="19">
        <v>1.02</v>
      </c>
      <c r="C30" s="19">
        <v>0.66</v>
      </c>
      <c r="D30" s="19">
        <v>0.12</v>
      </c>
      <c r="E30" s="19">
        <v>0.15</v>
      </c>
      <c r="F30" s="19">
        <v>0.15</v>
      </c>
      <c r="G30" s="19">
        <v>0.19</v>
      </c>
      <c r="H30" s="41">
        <v>0.19</v>
      </c>
      <c r="I30" s="42" t="s">
        <v>33</v>
      </c>
      <c r="J30" s="21" t="str">
        <f>0.19*0.93</f>
        <v>0.1767</v>
      </c>
      <c r="K30" s="23" t="str">
        <f t="shared" ref="K30:S30" si="17">J30*0.93</f>
        <v>0.164331</v>
      </c>
      <c r="L30" s="23" t="str">
        <f t="shared" si="17"/>
        <v>0.15282783</v>
      </c>
      <c r="M30" s="23" t="str">
        <f t="shared" si="17"/>
        <v>0.1421298819</v>
      </c>
      <c r="N30" s="23" t="str">
        <f t="shared" si="17"/>
        <v>0.1321807902</v>
      </c>
      <c r="O30" s="23" t="str">
        <f t="shared" si="17"/>
        <v>0.1229281349</v>
      </c>
      <c r="P30" s="23" t="str">
        <f t="shared" si="17"/>
        <v>0.1143231654</v>
      </c>
      <c r="Q30" s="23" t="str">
        <f t="shared" si="17"/>
        <v>0.1063205438</v>
      </c>
      <c r="R30" s="23" t="str">
        <f t="shared" si="17"/>
        <v>0.09887810577</v>
      </c>
      <c r="S30" s="23" t="str">
        <f t="shared" si="17"/>
        <v>0.09195663836</v>
      </c>
    </row>
    <row r="31">
      <c r="A31" s="25" t="s">
        <v>34</v>
      </c>
      <c r="B31" s="26">
        <v>104102.0</v>
      </c>
      <c r="C31" s="26">
        <v>150372.0</v>
      </c>
      <c r="D31" s="26">
        <v>285569.0</v>
      </c>
      <c r="E31" s="27">
        <v>603660.0</v>
      </c>
      <c r="F31" s="26">
        <v>406690.0</v>
      </c>
      <c r="G31" s="27">
        <v>633578.0</v>
      </c>
      <c r="H31" s="34" t="str">
        <f>H17*H32</f>
        <v>924392.2786</v>
      </c>
      <c r="I31" s="6"/>
      <c r="J31" s="12" t="str">
        <f t="shared" ref="J31:S31" si="18">J32*J17</f>
        <v>1093086.989</v>
      </c>
      <c r="K31" s="12" t="str">
        <f t="shared" si="18"/>
        <v>1391890.841</v>
      </c>
      <c r="L31" s="12" t="str">
        <f t="shared" si="18"/>
        <v>1772375.058</v>
      </c>
      <c r="M31" s="12" t="str">
        <f t="shared" si="18"/>
        <v>2256867.602</v>
      </c>
      <c r="N31" s="12" t="str">
        <f t="shared" si="18"/>
        <v>2873799.963</v>
      </c>
      <c r="O31" s="12" t="str">
        <f t="shared" si="18"/>
        <v>3659375.597</v>
      </c>
      <c r="P31" s="12" t="str">
        <f t="shared" si="18"/>
        <v>4659694.458</v>
      </c>
      <c r="Q31" s="12" t="str">
        <f t="shared" si="18"/>
        <v>5933458.283</v>
      </c>
      <c r="R31" s="12" t="str">
        <f t="shared" si="18"/>
        <v>7555415.384</v>
      </c>
      <c r="S31" s="12" t="str">
        <f t="shared" si="18"/>
        <v>9620747.11</v>
      </c>
    </row>
    <row r="32">
      <c r="A32" s="31" t="s">
        <v>32</v>
      </c>
      <c r="B32" s="43">
        <v>0.51</v>
      </c>
      <c r="C32" s="43">
        <v>0.36</v>
      </c>
      <c r="D32" s="43">
        <v>0.14</v>
      </c>
      <c r="E32" s="43">
        <v>0.19</v>
      </c>
      <c r="F32" s="43">
        <v>0.18</v>
      </c>
      <c r="G32" s="43">
        <v>0.22</v>
      </c>
      <c r="H32" s="35">
        <v>0.22</v>
      </c>
      <c r="I32" s="11" t="s">
        <v>35</v>
      </c>
      <c r="J32" s="12" t="str">
        <f>0.935*G32</f>
        <v>0.2057</v>
      </c>
      <c r="K32" s="12" t="str">
        <f t="shared" ref="K32:S32" si="19">0.935*J32</f>
        <v>0.1923295</v>
      </c>
      <c r="L32" s="12" t="str">
        <f t="shared" si="19"/>
        <v>0.1798280825</v>
      </c>
      <c r="M32" s="12" t="str">
        <f t="shared" si="19"/>
        <v>0.1681392571</v>
      </c>
      <c r="N32" s="12" t="str">
        <f t="shared" si="19"/>
        <v>0.1572102054</v>
      </c>
      <c r="O32" s="12" t="str">
        <f t="shared" si="19"/>
        <v>0.1469915421</v>
      </c>
      <c r="P32" s="12" t="str">
        <f t="shared" si="19"/>
        <v>0.1374370918</v>
      </c>
      <c r="Q32" s="12" t="str">
        <f t="shared" si="19"/>
        <v>0.1285036809</v>
      </c>
      <c r="R32" s="12" t="str">
        <f t="shared" si="19"/>
        <v>0.1201509416</v>
      </c>
      <c r="S32" s="12" t="str">
        <f t="shared" si="19"/>
        <v>0.1123411304</v>
      </c>
    </row>
    <row r="33">
      <c r="A33" s="25" t="s">
        <v>36</v>
      </c>
      <c r="B33" s="26">
        <v>313083.0</v>
      </c>
      <c r="C33" s="26">
        <v>424350.0</v>
      </c>
      <c r="D33" s="26">
        <v>517545.0</v>
      </c>
      <c r="E33" s="26">
        <v>1068360.0</v>
      </c>
      <c r="F33" s="26">
        <v>731825.0</v>
      </c>
      <c r="G33" s="26">
        <v>1161235.0</v>
      </c>
      <c r="H33" s="34" t="str">
        <f>H31+H29</f>
        <v>1722731.065</v>
      </c>
      <c r="I33" s="6"/>
      <c r="J33" s="12" t="str">
        <f t="shared" ref="J33:S33" si="20">J29+J31</f>
        <v>2032068.374</v>
      </c>
      <c r="K33" s="12" t="str">
        <f t="shared" si="20"/>
        <v>2581156.211</v>
      </c>
      <c r="L33" s="12" t="str">
        <f t="shared" si="20"/>
        <v>3278637.207</v>
      </c>
      <c r="M33" s="12" t="str">
        <f t="shared" si="20"/>
        <v>4164621.516</v>
      </c>
      <c r="N33" s="12" t="str">
        <f t="shared" si="20"/>
        <v>5290062.628</v>
      </c>
      <c r="O33" s="12" t="str">
        <f t="shared" si="20"/>
        <v>6719689.208</v>
      </c>
      <c r="P33" s="12" t="str">
        <f t="shared" si="20"/>
        <v>8535729.765</v>
      </c>
      <c r="Q33" s="12" t="str">
        <f t="shared" si="20"/>
        <v>10842644.6</v>
      </c>
      <c r="R33" s="12" t="str">
        <f t="shared" si="20"/>
        <v>13773137.45</v>
      </c>
      <c r="S33" s="12" t="str">
        <f t="shared" si="20"/>
        <v>17495793.05</v>
      </c>
    </row>
    <row r="34">
      <c r="A34" s="18"/>
      <c r="B34" s="18"/>
      <c r="C34" s="18"/>
      <c r="D34" s="18"/>
      <c r="E34" s="18"/>
      <c r="F34" s="18"/>
      <c r="G34" s="18"/>
      <c r="H34" s="44"/>
      <c r="I34" s="6"/>
      <c r="J34" s="6"/>
      <c r="K34" s="6"/>
      <c r="L34" s="6"/>
    </row>
    <row r="35">
      <c r="A35" s="24" t="s">
        <v>37</v>
      </c>
      <c r="B35" s="26">
        <v>-234569.0</v>
      </c>
      <c r="C35" s="26">
        <v>-365458.0</v>
      </c>
      <c r="D35" s="26">
        <v>44800.0</v>
      </c>
      <c r="E35" s="26">
        <v>45242.0</v>
      </c>
      <c r="F35" s="26">
        <v>-111851.0</v>
      </c>
      <c r="G35" s="26">
        <v>-177429.0</v>
      </c>
      <c r="H35" s="28" t="str">
        <f>H26-H33</f>
        <v>-345,739</v>
      </c>
      <c r="I35" s="6"/>
      <c r="J35" s="12" t="str">
        <f t="shared" ref="J35:S35" si="21">J26-J33</f>
        <v>-225313.0206</v>
      </c>
      <c r="K35" s="12" t="str">
        <f t="shared" si="21"/>
        <v>-120572.2334</v>
      </c>
      <c r="L35" s="12" t="str">
        <f t="shared" si="21"/>
        <v>72382.89663</v>
      </c>
      <c r="M35" s="12" t="str">
        <f t="shared" si="21"/>
        <v>399065.7389</v>
      </c>
      <c r="N35" s="12" t="str">
        <f t="shared" si="21"/>
        <v>925131.7662</v>
      </c>
      <c r="O35" s="12" t="str">
        <f t="shared" si="21"/>
        <v>1744659.73</v>
      </c>
      <c r="P35" s="12" t="str">
        <f t="shared" si="21"/>
        <v>2991697.764</v>
      </c>
      <c r="Q35" s="12" t="str">
        <f t="shared" si="21"/>
        <v>4856328.401</v>
      </c>
      <c r="R35" s="12" t="str">
        <f t="shared" si="21"/>
        <v>7606979.889</v>
      </c>
      <c r="S35" s="12" t="str">
        <f t="shared" si="21"/>
        <v>11621361.15</v>
      </c>
    </row>
    <row r="36">
      <c r="A36" s="25" t="s">
        <v>38</v>
      </c>
      <c r="B36" s="26">
        <v>16919.0</v>
      </c>
      <c r="C36" s="26">
        <v>28825.0</v>
      </c>
      <c r="D36" s="26">
        <v>106083.0</v>
      </c>
      <c r="E36" s="26">
        <v>231931.0</v>
      </c>
      <c r="F36" s="26">
        <v>163955.0</v>
      </c>
      <c r="G36" s="26">
        <v>278867.0</v>
      </c>
      <c r="H36" s="34" t="str">
        <f>H17*H37</f>
        <v>420178.3085</v>
      </c>
      <c r="I36" s="6"/>
      <c r="J36" s="12" t="str">
        <f t="shared" ref="J36:S36" si="22">J37*J17</f>
        <v>499514.7154</v>
      </c>
      <c r="K36" s="12" t="str">
        <f t="shared" si="22"/>
        <v>639462.3536</v>
      </c>
      <c r="L36" s="12" t="str">
        <f t="shared" si="22"/>
        <v>818618.7298</v>
      </c>
      <c r="M36" s="12" t="str">
        <f t="shared" si="22"/>
        <v>1047968.846</v>
      </c>
      <c r="N36" s="12" t="str">
        <f t="shared" si="22"/>
        <v>1341575.343</v>
      </c>
      <c r="O36" s="12" t="str">
        <f t="shared" si="22"/>
        <v>1717440.75</v>
      </c>
      <c r="P36" s="12" t="str">
        <f t="shared" si="22"/>
        <v>2198611.315</v>
      </c>
      <c r="Q36" s="12" t="str">
        <f t="shared" si="22"/>
        <v>2814590.09</v>
      </c>
      <c r="R36" s="12" t="str">
        <f t="shared" si="22"/>
        <v>3603145.914</v>
      </c>
      <c r="S36" s="12" t="str">
        <f t="shared" si="22"/>
        <v>4612629.216</v>
      </c>
    </row>
    <row r="37">
      <c r="A37" s="31" t="s">
        <v>32</v>
      </c>
      <c r="B37" s="32">
        <v>0.08</v>
      </c>
      <c r="C37" s="32">
        <v>0.07</v>
      </c>
      <c r="D37" s="32">
        <v>0.05</v>
      </c>
      <c r="E37" s="32">
        <v>0.07</v>
      </c>
      <c r="F37" s="32">
        <v>0.07</v>
      </c>
      <c r="G37" s="32">
        <v>0.1</v>
      </c>
      <c r="H37" s="33">
        <v>0.1</v>
      </c>
      <c r="I37" s="11" t="s">
        <v>39</v>
      </c>
      <c r="J37" s="35" t="str">
        <f>0.94*0.1</f>
        <v>9%</v>
      </c>
      <c r="K37" s="12" t="str">
        <f t="shared" ref="K37:S37" si="23">0.94*J37</f>
        <v>0.08836</v>
      </c>
      <c r="L37" s="12" t="str">
        <f t="shared" si="23"/>
        <v>0.0830584</v>
      </c>
      <c r="M37" s="12" t="str">
        <f t="shared" si="23"/>
        <v>0.078074896</v>
      </c>
      <c r="N37" s="12" t="str">
        <f t="shared" si="23"/>
        <v>0.07339040224</v>
      </c>
      <c r="O37" s="12" t="str">
        <f t="shared" si="23"/>
        <v>0.06898697811</v>
      </c>
      <c r="P37" s="12" t="str">
        <f t="shared" si="23"/>
        <v>0.06484775942</v>
      </c>
      <c r="Q37" s="12" t="str">
        <f t="shared" si="23"/>
        <v>0.06095689385</v>
      </c>
      <c r="R37" s="12" t="str">
        <f t="shared" si="23"/>
        <v>0.05729948022</v>
      </c>
      <c r="S37" s="12" t="str">
        <f t="shared" si="23"/>
        <v>0.05386151141</v>
      </c>
    </row>
    <row r="38">
      <c r="A38" s="38" t="s">
        <v>40</v>
      </c>
      <c r="B38" s="39">
        <v>-251488.0</v>
      </c>
      <c r="C38" s="39">
        <v>-394283.0</v>
      </c>
      <c r="D38" s="39">
        <v>-61283.0</v>
      </c>
      <c r="E38" s="39">
        <v>-186689.0</v>
      </c>
      <c r="F38" s="39">
        <v>-275806.0</v>
      </c>
      <c r="G38" s="39">
        <v>-456296.0</v>
      </c>
      <c r="H38" s="45" t="str">
        <f>H35-H36</f>
        <v>-765,917</v>
      </c>
      <c r="I38" s="6"/>
      <c r="J38" s="12" t="str">
        <f t="shared" ref="J38:S38" si="24">J35-J36</f>
        <v>-724827.736</v>
      </c>
      <c r="K38" s="12" t="str">
        <f t="shared" si="24"/>
        <v>-760034.587</v>
      </c>
      <c r="L38" s="12" t="str">
        <f t="shared" si="24"/>
        <v>-746235.8332</v>
      </c>
      <c r="M38" s="12" t="str">
        <f t="shared" si="24"/>
        <v>-648903.1075</v>
      </c>
      <c r="N38" s="12" t="str">
        <f t="shared" si="24"/>
        <v>-416443.5768</v>
      </c>
      <c r="O38" s="12" t="str">
        <f t="shared" si="24"/>
        <v>27218.98035</v>
      </c>
      <c r="P38" s="12" t="str">
        <f t="shared" si="24"/>
        <v>793086.4487</v>
      </c>
      <c r="Q38" s="12" t="str">
        <f t="shared" si="24"/>
        <v>2041738.311</v>
      </c>
      <c r="R38" s="12" t="str">
        <f t="shared" si="24"/>
        <v>4003833.975</v>
      </c>
      <c r="S38" s="12" t="str">
        <f t="shared" si="24"/>
        <v>7008731.939</v>
      </c>
    </row>
    <row r="39">
      <c r="A39" s="25" t="s">
        <v>41</v>
      </c>
      <c r="B39" s="29">
        <v>255.0</v>
      </c>
      <c r="C39" s="29">
        <v>288.0</v>
      </c>
      <c r="D39" s="29">
        <v>189.0</v>
      </c>
      <c r="E39" s="26">
        <v>1126.0</v>
      </c>
      <c r="F39" s="29">
        <v>907.0</v>
      </c>
      <c r="G39" s="29">
        <v>758.0</v>
      </c>
      <c r="H39" s="37">
        <v>0.0</v>
      </c>
      <c r="I39" s="11" t="s">
        <v>42</v>
      </c>
      <c r="J39" s="6" t="str">
        <f t="shared" ref="J39:S39" si="25">0</f>
        <v>0</v>
      </c>
      <c r="K39" s="6" t="str">
        <f t="shared" si="25"/>
        <v>0</v>
      </c>
      <c r="L39" s="6" t="str">
        <f t="shared" si="25"/>
        <v>0</v>
      </c>
      <c r="M39" s="6" t="str">
        <f t="shared" si="25"/>
        <v>0</v>
      </c>
      <c r="N39" s="6" t="str">
        <f t="shared" si="25"/>
        <v>0</v>
      </c>
      <c r="O39" s="6" t="str">
        <f t="shared" si="25"/>
        <v>0</v>
      </c>
      <c r="P39" s="6" t="str">
        <f t="shared" si="25"/>
        <v>0</v>
      </c>
      <c r="Q39" s="6" t="str">
        <f t="shared" si="25"/>
        <v>0</v>
      </c>
      <c r="R39" s="6" t="str">
        <f t="shared" si="25"/>
        <v>0</v>
      </c>
      <c r="S39" s="6" t="str">
        <f t="shared" si="25"/>
        <v>0</v>
      </c>
    </row>
    <row r="40">
      <c r="A40" s="25" t="s">
        <v>43</v>
      </c>
      <c r="B40" s="29">
        <v>-43.0</v>
      </c>
      <c r="C40" s="29">
        <v>-254.0</v>
      </c>
      <c r="D40" s="26">
        <v>-32934.0</v>
      </c>
      <c r="E40" s="26">
        <v>-100886.0</v>
      </c>
      <c r="F40" s="26">
        <v>-72183.0</v>
      </c>
      <c r="G40" s="26">
        <v>-80234.0</v>
      </c>
      <c r="H40" s="46">
        <v>-90000.0</v>
      </c>
      <c r="I40" s="11" t="s">
        <v>44</v>
      </c>
      <c r="J40" s="6" t="str">
        <f>(-90000)*0.94</f>
        <v>-84600</v>
      </c>
      <c r="K40" s="12" t="str">
        <f t="shared" ref="K40:S40" si="26">J40*0.94</f>
        <v>-79524</v>
      </c>
      <c r="L40" s="12" t="str">
        <f t="shared" si="26"/>
        <v>-74752.56</v>
      </c>
      <c r="M40" s="12" t="str">
        <f t="shared" si="26"/>
        <v>-70267.4064</v>
      </c>
      <c r="N40" s="12" t="str">
        <f t="shared" si="26"/>
        <v>-66051.36202</v>
      </c>
      <c r="O40" s="12" t="str">
        <f t="shared" si="26"/>
        <v>-62088.2803</v>
      </c>
      <c r="P40" s="12" t="str">
        <f t="shared" si="26"/>
        <v>-58362.98348</v>
      </c>
      <c r="Q40" s="12" t="str">
        <f t="shared" si="26"/>
        <v>-54861.20447</v>
      </c>
      <c r="R40" s="12" t="str">
        <f t="shared" si="26"/>
        <v>-51569.5322</v>
      </c>
      <c r="S40" s="12" t="str">
        <f t="shared" si="26"/>
        <v>-48475.36027</v>
      </c>
    </row>
    <row r="41">
      <c r="A41" s="25" t="s">
        <v>45</v>
      </c>
      <c r="B41" s="26">
        <v>-2646.0</v>
      </c>
      <c r="C41" s="26">
        <v>-1828.0</v>
      </c>
      <c r="D41" s="26">
        <v>22602.0</v>
      </c>
      <c r="E41" s="26">
        <v>1813.0</v>
      </c>
      <c r="F41" s="26">
        <v>2401.0</v>
      </c>
      <c r="G41" s="26">
        <v>-24503.0</v>
      </c>
      <c r="H41" s="30">
        <v>0.0</v>
      </c>
      <c r="I41" s="11" t="s">
        <v>42</v>
      </c>
      <c r="J41" s="11">
        <v>0.0</v>
      </c>
      <c r="K41" s="11">
        <v>0.0</v>
      </c>
      <c r="L41" s="11">
        <v>0.0</v>
      </c>
      <c r="M41" s="11">
        <v>0.0</v>
      </c>
      <c r="N41" s="11">
        <v>0.0</v>
      </c>
      <c r="O41" s="11">
        <v>0.0</v>
      </c>
      <c r="P41" s="11">
        <v>0.0</v>
      </c>
      <c r="Q41" s="11">
        <v>0.0</v>
      </c>
      <c r="R41" s="11">
        <v>0.0</v>
      </c>
      <c r="S41" s="11">
        <v>0.0</v>
      </c>
    </row>
    <row r="42">
      <c r="A42" s="24" t="s">
        <v>46</v>
      </c>
      <c r="B42" s="26">
        <v>-253922.0</v>
      </c>
      <c r="C42" s="26">
        <v>-396077.0</v>
      </c>
      <c r="D42" s="26">
        <v>-71426.0</v>
      </c>
      <c r="E42" s="26">
        <v>-284636.0</v>
      </c>
      <c r="F42" s="26">
        <v>-344681.0</v>
      </c>
      <c r="G42" s="26">
        <v>-560275.0</v>
      </c>
      <c r="H42" s="47" t="str">
        <f>H38+H40</f>
        <v>-855,917</v>
      </c>
      <c r="I42" s="6"/>
      <c r="J42" s="12" t="str">
        <f t="shared" ref="J42:S42" si="27">J38+J40</f>
        <v>-809427.736</v>
      </c>
      <c r="K42" s="12" t="str">
        <f t="shared" si="27"/>
        <v>-839558.587</v>
      </c>
      <c r="L42" s="12" t="str">
        <f t="shared" si="27"/>
        <v>-820988.3932</v>
      </c>
      <c r="M42" s="12" t="str">
        <f t="shared" si="27"/>
        <v>-719170.5139</v>
      </c>
      <c r="N42" s="12" t="str">
        <f t="shared" si="27"/>
        <v>-482494.9388</v>
      </c>
      <c r="O42" s="12" t="str">
        <f t="shared" si="27"/>
        <v>-34869.29994</v>
      </c>
      <c r="P42" s="12" t="str">
        <f t="shared" si="27"/>
        <v>734723.4653</v>
      </c>
      <c r="Q42" s="12" t="str">
        <f t="shared" si="27"/>
        <v>1986877.107</v>
      </c>
      <c r="R42" s="12" t="str">
        <f t="shared" si="27"/>
        <v>3952264.442</v>
      </c>
      <c r="S42" s="12" t="str">
        <f t="shared" si="27"/>
        <v>6960256.579</v>
      </c>
    </row>
    <row r="43">
      <c r="A43" s="25" t="s">
        <v>47</v>
      </c>
      <c r="B43" s="29">
        <v>489.0</v>
      </c>
      <c r="C43" s="29">
        <v>136.0</v>
      </c>
      <c r="D43" s="26">
        <v>2588.0</v>
      </c>
      <c r="E43" s="26">
        <v>9404.0</v>
      </c>
      <c r="F43" s="26">
        <v>5685.0</v>
      </c>
      <c r="G43" s="26">
        <v>7991.0</v>
      </c>
      <c r="H43" s="37">
        <v>0.0</v>
      </c>
      <c r="I43" s="11" t="s">
        <v>48</v>
      </c>
      <c r="J43" s="11">
        <v>0.0</v>
      </c>
      <c r="K43" s="11">
        <v>0.0</v>
      </c>
      <c r="L43" s="11">
        <v>0.0</v>
      </c>
      <c r="M43" s="11">
        <v>0.0</v>
      </c>
      <c r="N43" s="11">
        <v>0.0</v>
      </c>
      <c r="O43" s="11">
        <v>0.0</v>
      </c>
      <c r="P43" s="11" t="str">
        <f t="shared" ref="P43:S43" si="28">0.35*P42</f>
        <v>257153.2128</v>
      </c>
      <c r="Q43" s="11" t="str">
        <f t="shared" si="28"/>
        <v>695406.9873</v>
      </c>
      <c r="R43" s="11" t="str">
        <f t="shared" si="28"/>
        <v>1383292.555</v>
      </c>
      <c r="S43" s="11" t="str">
        <f t="shared" si="28"/>
        <v>2436089.803</v>
      </c>
    </row>
    <row r="44">
      <c r="A44" s="24" t="s">
        <v>49</v>
      </c>
      <c r="B44" s="26">
        <v>-254411.0</v>
      </c>
      <c r="C44" s="26">
        <v>-396213.0</v>
      </c>
      <c r="D44" s="26">
        <v>-74014.0</v>
      </c>
      <c r="E44" s="26">
        <v>-294040.0</v>
      </c>
      <c r="F44" s="26">
        <v>-350366.0</v>
      </c>
      <c r="G44" s="26">
        <v>-568266.0</v>
      </c>
      <c r="H44" s="47" t="str">
        <f>H42+H43</f>
        <v>-855,917</v>
      </c>
      <c r="I44" s="6"/>
      <c r="J44" s="12" t="str">
        <f t="shared" ref="J44:S44" si="29">J42-J43</f>
        <v>-809427.736</v>
      </c>
      <c r="K44" s="12" t="str">
        <f t="shared" si="29"/>
        <v>-839558.587</v>
      </c>
      <c r="L44" s="12" t="str">
        <f t="shared" si="29"/>
        <v>-820988.3932</v>
      </c>
      <c r="M44" s="12" t="str">
        <f t="shared" si="29"/>
        <v>-719170.5139</v>
      </c>
      <c r="N44" s="12" t="str">
        <f t="shared" si="29"/>
        <v>-482494.9388</v>
      </c>
      <c r="O44" s="12" t="str">
        <f t="shared" si="29"/>
        <v>-34869.29994</v>
      </c>
      <c r="P44" s="12" t="str">
        <f t="shared" si="29"/>
        <v>477570.2524</v>
      </c>
      <c r="Q44" s="12" t="str">
        <f t="shared" si="29"/>
        <v>1291470.119</v>
      </c>
      <c r="R44" s="12" t="str">
        <f t="shared" si="29"/>
        <v>2568971.888</v>
      </c>
      <c r="S44" s="12" t="str">
        <f t="shared" si="29"/>
        <v>4524166.776</v>
      </c>
    </row>
    <row r="45">
      <c r="A45" s="14"/>
      <c r="B45" s="14"/>
      <c r="C45" s="14"/>
      <c r="D45" s="14"/>
      <c r="E45" s="14"/>
      <c r="F45" s="14"/>
      <c r="G45" s="14"/>
      <c r="H45" s="36"/>
      <c r="I45" s="6"/>
      <c r="J45" s="6"/>
      <c r="K45" s="6"/>
      <c r="L45" s="6"/>
    </row>
    <row r="46">
      <c r="A46" s="7" t="s">
        <v>50</v>
      </c>
      <c r="B46" s="48"/>
      <c r="C46" s="48"/>
      <c r="D46" s="48"/>
      <c r="E46" s="48"/>
      <c r="F46" s="8">
        <v>42277.0</v>
      </c>
      <c r="G46" s="8">
        <v>42277.0</v>
      </c>
      <c r="H46" s="5"/>
      <c r="I46" s="6"/>
      <c r="J46" s="6"/>
      <c r="K46" s="6"/>
      <c r="L46" s="6"/>
    </row>
    <row r="47">
      <c r="A47" s="2"/>
      <c r="B47" s="9">
        <v>2011.0</v>
      </c>
      <c r="C47" s="9">
        <v>2012.0</v>
      </c>
      <c r="D47" s="9">
        <v>2013.0</v>
      </c>
      <c r="E47" s="9">
        <v>2014.0</v>
      </c>
      <c r="F47" s="9">
        <v>2014.0</v>
      </c>
      <c r="G47" s="9">
        <v>2015.0</v>
      </c>
      <c r="H47" s="5"/>
      <c r="I47" s="11" t="s">
        <v>51</v>
      </c>
      <c r="J47" s="12" t="str">
        <f t="shared" ref="J47:S47" si="30">J44+J36</f>
        <v>-309913.0206</v>
      </c>
      <c r="K47" s="12" t="str">
        <f t="shared" si="30"/>
        <v>-200096.2334</v>
      </c>
      <c r="L47" s="12" t="str">
        <f t="shared" si="30"/>
        <v>-2369.663374</v>
      </c>
      <c r="M47" s="12" t="str">
        <f t="shared" si="30"/>
        <v>328798.3325</v>
      </c>
      <c r="N47" s="12" t="str">
        <f t="shared" si="30"/>
        <v>859080.4042</v>
      </c>
      <c r="O47" s="12" t="str">
        <f t="shared" si="30"/>
        <v>1682571.45</v>
      </c>
      <c r="P47" s="12" t="str">
        <f t="shared" si="30"/>
        <v>2676181.567</v>
      </c>
      <c r="Q47" s="12" t="str">
        <f t="shared" si="30"/>
        <v>4106060.21</v>
      </c>
      <c r="R47" s="12" t="str">
        <f t="shared" si="30"/>
        <v>6172117.802</v>
      </c>
      <c r="S47" s="12" t="str">
        <f t="shared" si="30"/>
        <v>9136795.992</v>
      </c>
    </row>
    <row r="48">
      <c r="A48" s="24" t="s">
        <v>52</v>
      </c>
      <c r="B48" s="14"/>
      <c r="C48" s="14"/>
      <c r="D48" s="14"/>
      <c r="E48" s="14"/>
      <c r="F48" s="14"/>
      <c r="G48" s="14"/>
      <c r="H48" s="36"/>
      <c r="I48" s="11" t="s">
        <v>53</v>
      </c>
      <c r="J48" s="11" t="str">
        <f t="shared" ref="J48:S48" si="31">J36</f>
        <v>499514.7154</v>
      </c>
      <c r="K48" s="11" t="str">
        <f t="shared" si="31"/>
        <v>639462.3536</v>
      </c>
      <c r="L48" s="11" t="str">
        <f t="shared" si="31"/>
        <v>818618.7298</v>
      </c>
      <c r="M48" s="11" t="str">
        <f t="shared" si="31"/>
        <v>1047968.846</v>
      </c>
      <c r="N48" s="11" t="str">
        <f t="shared" si="31"/>
        <v>1341575.343</v>
      </c>
      <c r="O48" s="11" t="str">
        <f t="shared" si="31"/>
        <v>1717440.75</v>
      </c>
      <c r="P48" s="11" t="str">
        <f t="shared" si="31"/>
        <v>2198611.315</v>
      </c>
      <c r="Q48" s="11" t="str">
        <f t="shared" si="31"/>
        <v>2814590.09</v>
      </c>
      <c r="R48" s="11" t="str">
        <f t="shared" si="31"/>
        <v>3603145.914</v>
      </c>
      <c r="S48" s="11" t="str">
        <f t="shared" si="31"/>
        <v>4612629.216</v>
      </c>
    </row>
    <row r="49">
      <c r="A49" s="24" t="s">
        <v>54</v>
      </c>
      <c r="B49" s="14"/>
      <c r="C49" s="14"/>
      <c r="D49" s="14"/>
      <c r="E49" s="14"/>
      <c r="F49" s="14"/>
      <c r="G49" s="14"/>
      <c r="H49" s="36"/>
      <c r="I49" s="11" t="s">
        <v>55</v>
      </c>
      <c r="J49" s="6" t="str">
        <f t="shared" ref="J49:S49" si="32">0</f>
        <v>0</v>
      </c>
      <c r="K49" s="6" t="str">
        <f t="shared" si="32"/>
        <v>0</v>
      </c>
      <c r="L49" s="6" t="str">
        <f t="shared" si="32"/>
        <v>0</v>
      </c>
      <c r="M49" s="6" t="str">
        <f t="shared" si="32"/>
        <v>0</v>
      </c>
      <c r="N49" s="6" t="str">
        <f t="shared" si="32"/>
        <v>0</v>
      </c>
      <c r="O49" s="6" t="str">
        <f t="shared" si="32"/>
        <v>0</v>
      </c>
      <c r="P49" s="6" t="str">
        <f t="shared" si="32"/>
        <v>0</v>
      </c>
      <c r="Q49" s="6" t="str">
        <f t="shared" si="32"/>
        <v>0</v>
      </c>
      <c r="R49" s="6" t="str">
        <f t="shared" si="32"/>
        <v>0</v>
      </c>
      <c r="S49" s="6" t="str">
        <f t="shared" si="32"/>
        <v>0</v>
      </c>
    </row>
    <row r="50">
      <c r="A50" s="49" t="s">
        <v>56</v>
      </c>
      <c r="B50" s="20"/>
      <c r="C50" s="20"/>
      <c r="D50" s="20"/>
      <c r="E50" s="20"/>
      <c r="F50" s="50">
        <v>1905713.0</v>
      </c>
      <c r="G50" s="50">
        <v>1426036.0</v>
      </c>
      <c r="H50" s="36"/>
      <c r="I50" s="11" t="s">
        <v>57</v>
      </c>
      <c r="J50" s="12" t="str">
        <f t="shared" ref="J50:S50" si="33">J47-J48-J49</f>
        <v>-809427.736</v>
      </c>
      <c r="K50" s="12" t="str">
        <f t="shared" si="33"/>
        <v>-839558.587</v>
      </c>
      <c r="L50" s="12" t="str">
        <f t="shared" si="33"/>
        <v>-820988.3932</v>
      </c>
      <c r="M50" s="12" t="str">
        <f t="shared" si="33"/>
        <v>-719170.5139</v>
      </c>
      <c r="N50" s="12" t="str">
        <f t="shared" si="33"/>
        <v>-482494.9388</v>
      </c>
      <c r="O50" s="12" t="str">
        <f t="shared" si="33"/>
        <v>-34869.29994</v>
      </c>
      <c r="P50" s="12" t="str">
        <f t="shared" si="33"/>
        <v>477570.2524</v>
      </c>
      <c r="Q50" s="12" t="str">
        <f t="shared" si="33"/>
        <v>1291470.119</v>
      </c>
      <c r="R50" s="12" t="str">
        <f t="shared" si="33"/>
        <v>2568971.888</v>
      </c>
      <c r="S50" s="12" t="str">
        <f t="shared" si="33"/>
        <v>4524166.776</v>
      </c>
    </row>
    <row r="51">
      <c r="A51" s="49" t="s">
        <v>58</v>
      </c>
      <c r="B51" s="20"/>
      <c r="C51" s="20"/>
      <c r="D51" s="20"/>
      <c r="E51" s="20"/>
      <c r="F51" s="27">
        <v>17947.0</v>
      </c>
      <c r="G51" s="27">
        <v>25223.0</v>
      </c>
      <c r="H51" s="36"/>
      <c r="I51" s="11" t="s">
        <v>59</v>
      </c>
      <c r="J51" s="12" t="str">
        <f t="shared" ref="J51:S51" si="34">(J52*J54)+((J53*J59)*J58)</f>
        <v>0.07839802198</v>
      </c>
      <c r="K51" s="12" t="str">
        <f t="shared" si="34"/>
        <v>0.07839802198</v>
      </c>
      <c r="L51" s="12" t="str">
        <f t="shared" si="34"/>
        <v>0.07839802198</v>
      </c>
      <c r="M51" s="12" t="str">
        <f t="shared" si="34"/>
        <v>0.07839802198</v>
      </c>
      <c r="N51" s="12" t="str">
        <f t="shared" si="34"/>
        <v>0.07839802198</v>
      </c>
      <c r="O51" s="12" t="str">
        <f t="shared" si="34"/>
        <v>0.07839802198</v>
      </c>
      <c r="P51" s="12" t="str">
        <f t="shared" si="34"/>
        <v>0.07070571429</v>
      </c>
      <c r="Q51" s="12" t="str">
        <f t="shared" si="34"/>
        <v>0.07070571429</v>
      </c>
      <c r="R51" s="12" t="str">
        <f t="shared" si="34"/>
        <v>0.07070571429</v>
      </c>
      <c r="S51" s="12" t="str">
        <f t="shared" si="34"/>
        <v>0.07070571429</v>
      </c>
    </row>
    <row r="52">
      <c r="A52" s="49" t="s">
        <v>60</v>
      </c>
      <c r="B52" s="20"/>
      <c r="C52" s="20"/>
      <c r="D52" s="20"/>
      <c r="E52" s="20"/>
      <c r="F52" s="27">
        <v>226604.0</v>
      </c>
      <c r="G52" s="27">
        <v>119964.0</v>
      </c>
      <c r="H52" s="36"/>
      <c r="I52" s="11" t="s">
        <v>61</v>
      </c>
      <c r="J52" s="6" t="str">
        <f t="shared" ref="J52:S52" si="35">0.91</f>
        <v>0.91</v>
      </c>
      <c r="K52" s="6" t="str">
        <f t="shared" si="35"/>
        <v>0.91</v>
      </c>
      <c r="L52" s="6" t="str">
        <f t="shared" si="35"/>
        <v>0.91</v>
      </c>
      <c r="M52" s="6" t="str">
        <f t="shared" si="35"/>
        <v>0.91</v>
      </c>
      <c r="N52" s="6" t="str">
        <f t="shared" si="35"/>
        <v>0.91</v>
      </c>
      <c r="O52" s="6" t="str">
        <f t="shared" si="35"/>
        <v>0.91</v>
      </c>
      <c r="P52" s="6" t="str">
        <f t="shared" si="35"/>
        <v>0.91</v>
      </c>
      <c r="Q52" s="6" t="str">
        <f t="shared" si="35"/>
        <v>0.91</v>
      </c>
      <c r="R52" s="6" t="str">
        <f t="shared" si="35"/>
        <v>0.91</v>
      </c>
      <c r="S52" s="6" t="str">
        <f t="shared" si="35"/>
        <v>0.91</v>
      </c>
    </row>
    <row r="53">
      <c r="A53" s="49" t="s">
        <v>62</v>
      </c>
      <c r="B53" s="20"/>
      <c r="C53" s="20"/>
      <c r="D53" s="20"/>
      <c r="E53" s="20"/>
      <c r="F53" s="27">
        <v>953675.0</v>
      </c>
      <c r="G53" s="27">
        <v>1293717.0</v>
      </c>
      <c r="H53" s="36"/>
      <c r="I53" s="11" t="s">
        <v>63</v>
      </c>
      <c r="J53" s="12" t="str">
        <f t="shared" ref="J53:S53" si="36">1/J52</f>
        <v>1.098901099</v>
      </c>
      <c r="K53" s="12" t="str">
        <f t="shared" si="36"/>
        <v>1.098901099</v>
      </c>
      <c r="L53" s="12" t="str">
        <f t="shared" si="36"/>
        <v>1.098901099</v>
      </c>
      <c r="M53" s="12" t="str">
        <f t="shared" si="36"/>
        <v>1.098901099</v>
      </c>
      <c r="N53" s="12" t="str">
        <f t="shared" si="36"/>
        <v>1.098901099</v>
      </c>
      <c r="O53" s="12" t="str">
        <f t="shared" si="36"/>
        <v>1.098901099</v>
      </c>
      <c r="P53" s="12" t="str">
        <f t="shared" si="36"/>
        <v>1.098901099</v>
      </c>
      <c r="Q53" s="12" t="str">
        <f t="shared" si="36"/>
        <v>1.098901099</v>
      </c>
      <c r="R53" s="12" t="str">
        <f t="shared" si="36"/>
        <v>1.098901099</v>
      </c>
      <c r="S53" s="12" t="str">
        <f t="shared" si="36"/>
        <v>1.098901099</v>
      </c>
    </row>
    <row r="54">
      <c r="A54" s="49" t="s">
        <v>64</v>
      </c>
      <c r="B54" s="20"/>
      <c r="C54" s="20"/>
      <c r="D54" s="20"/>
      <c r="E54" s="20"/>
      <c r="F54" s="27">
        <v>94718.0</v>
      </c>
      <c r="G54" s="27">
        <v>133855.0</v>
      </c>
      <c r="H54" s="36"/>
      <c r="I54" s="11" t="s">
        <v>65</v>
      </c>
      <c r="J54" s="51" t="str">
        <f t="shared" ref="J54:S54" si="37">J55+(J56*J57)</f>
        <v>6%</v>
      </c>
      <c r="K54" s="51" t="str">
        <f t="shared" si="37"/>
        <v>6%</v>
      </c>
      <c r="L54" s="51" t="str">
        <f t="shared" si="37"/>
        <v>6%</v>
      </c>
      <c r="M54" s="51" t="str">
        <f t="shared" si="37"/>
        <v>6%</v>
      </c>
      <c r="N54" s="51" t="str">
        <f t="shared" si="37"/>
        <v>6%</v>
      </c>
      <c r="O54" s="51" t="str">
        <f t="shared" si="37"/>
        <v>6%</v>
      </c>
      <c r="P54" s="51" t="str">
        <f t="shared" si="37"/>
        <v>6%</v>
      </c>
      <c r="Q54" s="51" t="str">
        <f t="shared" si="37"/>
        <v>6%</v>
      </c>
      <c r="R54" s="51" t="str">
        <f t="shared" si="37"/>
        <v>6%</v>
      </c>
      <c r="S54" s="51" t="str">
        <f t="shared" si="37"/>
        <v>6%</v>
      </c>
    </row>
    <row r="55">
      <c r="A55" s="49" t="s">
        <v>66</v>
      </c>
      <c r="B55" s="20"/>
      <c r="C55" s="20"/>
      <c r="D55" s="20"/>
      <c r="E55" s="20"/>
      <c r="F55" s="27">
        <v>3198657.0</v>
      </c>
      <c r="G55" s="27">
        <v>2998795.0</v>
      </c>
      <c r="H55" s="36"/>
      <c r="I55" s="11" t="s">
        <v>67</v>
      </c>
      <c r="J55" s="35">
        <v>0.02</v>
      </c>
      <c r="K55" s="35">
        <v>0.02</v>
      </c>
      <c r="L55" s="35">
        <v>0.02</v>
      </c>
      <c r="M55" s="35">
        <v>0.02</v>
      </c>
      <c r="N55" s="35">
        <v>0.02</v>
      </c>
      <c r="O55" s="35">
        <v>0.02</v>
      </c>
      <c r="P55" s="35">
        <v>0.02</v>
      </c>
      <c r="Q55" s="35">
        <v>0.02</v>
      </c>
      <c r="R55" s="35">
        <v>0.02</v>
      </c>
      <c r="S55" s="35">
        <v>0.02</v>
      </c>
    </row>
    <row r="56">
      <c r="A56" s="20"/>
      <c r="B56" s="20"/>
      <c r="C56" s="20"/>
      <c r="D56" s="20"/>
      <c r="E56" s="20"/>
      <c r="F56" s="20"/>
      <c r="G56" s="20"/>
      <c r="H56" s="36"/>
      <c r="I56" s="11" t="s">
        <v>68</v>
      </c>
      <c r="J56" s="11">
        <v>0.6</v>
      </c>
      <c r="K56" s="11">
        <v>0.6</v>
      </c>
      <c r="L56" s="11">
        <v>0.6</v>
      </c>
      <c r="M56" s="11">
        <v>0.6</v>
      </c>
      <c r="N56" s="11">
        <v>0.6</v>
      </c>
      <c r="O56" s="11">
        <v>0.6</v>
      </c>
      <c r="P56" s="11">
        <v>0.6</v>
      </c>
      <c r="Q56" s="11">
        <v>0.6</v>
      </c>
      <c r="R56" s="11">
        <v>0.6</v>
      </c>
      <c r="S56" s="11">
        <v>0.6</v>
      </c>
    </row>
    <row r="57">
      <c r="A57" s="49" t="s">
        <v>69</v>
      </c>
      <c r="B57" s="20"/>
      <c r="C57" s="20"/>
      <c r="D57" s="20"/>
      <c r="E57" s="20"/>
      <c r="F57" s="27">
        <v>2650594.0</v>
      </c>
      <c r="G57" s="27">
        <v>4548702.0</v>
      </c>
      <c r="H57" s="36"/>
      <c r="I57" s="11" t="s">
        <v>70</v>
      </c>
      <c r="J57" s="35">
        <v>0.07</v>
      </c>
      <c r="K57" s="35">
        <v>0.07</v>
      </c>
      <c r="L57" s="35">
        <v>0.07</v>
      </c>
      <c r="M57" s="35">
        <v>0.07</v>
      </c>
      <c r="N57" s="35">
        <v>0.07</v>
      </c>
      <c r="O57" s="35">
        <v>0.07</v>
      </c>
      <c r="P57" s="35">
        <v>0.07</v>
      </c>
      <c r="Q57" s="35">
        <v>0.07</v>
      </c>
      <c r="R57" s="35">
        <v>0.07</v>
      </c>
      <c r="S57" s="35">
        <v>0.07</v>
      </c>
    </row>
    <row r="58">
      <c r="A58" s="20"/>
      <c r="B58" s="20"/>
      <c r="C58" s="20"/>
      <c r="D58" s="20"/>
      <c r="E58" s="20"/>
      <c r="F58" s="20"/>
      <c r="G58" s="20"/>
      <c r="H58" s="36"/>
      <c r="I58" s="11" t="s">
        <v>71</v>
      </c>
      <c r="J58" s="11">
        <v>1.0</v>
      </c>
      <c r="K58" s="11">
        <v>1.0</v>
      </c>
      <c r="L58" s="11">
        <v>1.0</v>
      </c>
      <c r="M58" s="11">
        <v>1.0</v>
      </c>
      <c r="N58" s="11">
        <v>1.0</v>
      </c>
      <c r="O58" s="11">
        <v>1.0</v>
      </c>
      <c r="P58" s="52">
        <v>0.65</v>
      </c>
      <c r="Q58" s="52">
        <v>0.65</v>
      </c>
      <c r="R58" s="52">
        <v>0.65</v>
      </c>
      <c r="S58" s="52">
        <v>0.65</v>
      </c>
    </row>
    <row r="59">
      <c r="A59" s="53" t="s">
        <v>72</v>
      </c>
      <c r="B59" s="20"/>
      <c r="C59" s="20"/>
      <c r="D59" s="20"/>
      <c r="E59" s="20"/>
      <c r="F59" s="50">
        <v>5849251.0</v>
      </c>
      <c r="G59" s="50">
        <v>7547497.0</v>
      </c>
      <c r="H59" s="36"/>
      <c r="I59" s="11" t="s">
        <v>73</v>
      </c>
      <c r="J59" s="35">
        <v>0.02</v>
      </c>
      <c r="K59" s="35">
        <v>0.02</v>
      </c>
      <c r="L59" s="35">
        <v>0.02</v>
      </c>
      <c r="M59" s="35">
        <v>0.02</v>
      </c>
      <c r="N59" s="35">
        <v>0.02</v>
      </c>
      <c r="O59" s="35">
        <v>0.02</v>
      </c>
      <c r="P59" s="35">
        <v>0.02</v>
      </c>
      <c r="Q59" s="35">
        <v>0.02</v>
      </c>
      <c r="R59" s="35">
        <v>0.02</v>
      </c>
      <c r="S59" s="35">
        <v>0.02</v>
      </c>
    </row>
    <row r="60">
      <c r="A60" s="20"/>
      <c r="B60" s="20"/>
      <c r="C60" s="20"/>
      <c r="D60" s="20"/>
      <c r="E60" s="20"/>
      <c r="F60" s="20"/>
      <c r="G60" s="20"/>
      <c r="H60" s="36"/>
      <c r="I60" s="11"/>
      <c r="J60" s="6"/>
      <c r="K60" s="6"/>
      <c r="L60" s="6"/>
    </row>
    <row r="61">
      <c r="A61" s="53" t="s">
        <v>74</v>
      </c>
      <c r="B61" s="20"/>
      <c r="C61" s="20"/>
      <c r="D61" s="20"/>
      <c r="E61" s="20"/>
      <c r="F61" s="20"/>
      <c r="G61" s="20"/>
      <c r="H61" s="36"/>
      <c r="I61" s="11" t="s">
        <v>75</v>
      </c>
      <c r="J61" s="12" t="str">
        <f t="shared" ref="J61:R61" si="38">(J50)/(1+J51)</f>
        <v>-750583.4761</v>
      </c>
      <c r="K61" s="12" t="str">
        <f t="shared" si="38"/>
        <v>-778523.8566</v>
      </c>
      <c r="L61" s="12" t="str">
        <f t="shared" si="38"/>
        <v>-761303.6898</v>
      </c>
      <c r="M61" s="12" t="str">
        <f t="shared" si="38"/>
        <v>-666887.8273</v>
      </c>
      <c r="N61" s="12" t="str">
        <f t="shared" si="38"/>
        <v>-447418.2342</v>
      </c>
      <c r="O61" s="12" t="str">
        <f t="shared" si="38"/>
        <v>-32334.3508</v>
      </c>
      <c r="P61" s="12" t="str">
        <f t="shared" si="38"/>
        <v>446033.1593</v>
      </c>
      <c r="Q61" s="12" t="str">
        <f t="shared" si="38"/>
        <v>1206185.885</v>
      </c>
      <c r="R61" s="12" t="str">
        <f t="shared" si="38"/>
        <v>2399325.84</v>
      </c>
      <c r="S61" s="12" t="str">
        <f>11.3*S44</f>
        <v>51123084.57</v>
      </c>
    </row>
    <row r="62">
      <c r="A62" s="53" t="s">
        <v>76</v>
      </c>
      <c r="B62" s="20"/>
      <c r="C62" s="20"/>
      <c r="D62" s="20"/>
      <c r="E62" s="20"/>
      <c r="F62" s="20"/>
      <c r="G62" s="20"/>
      <c r="H62" s="36"/>
      <c r="I62" s="6"/>
      <c r="J62" s="6"/>
      <c r="K62" s="6"/>
      <c r="L62" s="6"/>
    </row>
    <row r="63">
      <c r="A63" s="49" t="s">
        <v>77</v>
      </c>
      <c r="B63" s="20"/>
      <c r="C63" s="20"/>
      <c r="D63" s="20"/>
      <c r="E63" s="20"/>
      <c r="F63" s="50">
        <v>777946.0</v>
      </c>
      <c r="G63" s="50">
        <v>824861.0</v>
      </c>
      <c r="H63" s="36"/>
      <c r="I63" s="54" t="s">
        <v>78</v>
      </c>
      <c r="J63" s="55" t="str">
        <f>sum(J61:S61)*1000</f>
        <v>51737578020</v>
      </c>
      <c r="K63" s="11" t="s">
        <v>79</v>
      </c>
      <c r="L63" s="6"/>
    </row>
    <row r="64">
      <c r="A64" s="49" t="s">
        <v>80</v>
      </c>
      <c r="B64" s="20"/>
      <c r="C64" s="20"/>
      <c r="D64" s="20"/>
      <c r="E64" s="20"/>
      <c r="F64" s="27">
        <v>268884.0</v>
      </c>
      <c r="G64" s="27">
        <v>373859.0</v>
      </c>
      <c r="H64" s="36"/>
      <c r="I64" s="54" t="s">
        <v>81</v>
      </c>
      <c r="J64" s="55" t="str">
        <f>0.4*J63</f>
        <v>20695031208</v>
      </c>
      <c r="K64" s="6"/>
      <c r="L64" s="6"/>
    </row>
    <row r="65">
      <c r="A65" s="49" t="s">
        <v>82</v>
      </c>
      <c r="B65" s="20"/>
      <c r="C65" s="20"/>
      <c r="D65" s="20"/>
      <c r="E65" s="20"/>
      <c r="F65" s="27">
        <v>191651.0</v>
      </c>
      <c r="G65" s="27">
        <v>348117.0</v>
      </c>
      <c r="H65" s="36"/>
      <c r="I65" s="54" t="s">
        <v>83</v>
      </c>
      <c r="J65" s="55" t="str">
        <f>J63-J64</f>
        <v>31042546812</v>
      </c>
      <c r="K65" s="6"/>
      <c r="L65" s="6"/>
    </row>
    <row r="66">
      <c r="A66" s="49" t="s">
        <v>84</v>
      </c>
      <c r="B66" s="20"/>
      <c r="C66" s="20"/>
      <c r="D66" s="20"/>
      <c r="E66" s="20"/>
      <c r="F66" s="27">
        <v>9532.0</v>
      </c>
      <c r="G66" s="27">
        <v>13000.0</v>
      </c>
      <c r="H66" s="36"/>
      <c r="I66" s="54" t="s">
        <v>85</v>
      </c>
      <c r="J66" s="56">
        <v>1.3E8</v>
      </c>
      <c r="K66" s="6"/>
      <c r="L66" s="6"/>
    </row>
    <row r="67">
      <c r="A67" s="49" t="s">
        <v>86</v>
      </c>
      <c r="B67" s="20"/>
      <c r="C67" s="20"/>
      <c r="D67" s="20"/>
      <c r="E67" s="20"/>
      <c r="F67" s="57" t="s">
        <v>87</v>
      </c>
      <c r="G67" s="27">
        <v>85580.0</v>
      </c>
      <c r="H67" s="36"/>
      <c r="I67" s="58" t="s">
        <v>88</v>
      </c>
      <c r="J67" s="59" t="str">
        <f>J65/J66</f>
        <v>238.7888216</v>
      </c>
      <c r="K67" s="6"/>
      <c r="L67" s="6"/>
    </row>
    <row r="68">
      <c r="A68" s="49" t="s">
        <v>89</v>
      </c>
      <c r="B68" s="20"/>
      <c r="C68" s="20"/>
      <c r="D68" s="20"/>
      <c r="E68" s="20"/>
      <c r="F68" s="27">
        <v>257587.0</v>
      </c>
      <c r="G68" s="27">
        <v>269545.0</v>
      </c>
      <c r="H68" s="36"/>
      <c r="I68" s="6"/>
      <c r="J68" s="6"/>
      <c r="K68" s="6"/>
      <c r="L68" s="6"/>
    </row>
    <row r="69">
      <c r="A69" s="49" t="s">
        <v>90</v>
      </c>
      <c r="B69" s="20"/>
      <c r="C69" s="20"/>
      <c r="D69" s="20"/>
      <c r="E69" s="20"/>
      <c r="F69" s="27">
        <v>1505600.0</v>
      </c>
      <c r="G69" s="27">
        <v>1914962.0</v>
      </c>
      <c r="H69" s="36"/>
      <c r="I69" s="6"/>
      <c r="J69" s="6"/>
      <c r="K69" s="6"/>
      <c r="L69" s="6"/>
    </row>
    <row r="70">
      <c r="A70" s="20"/>
      <c r="B70" s="20"/>
      <c r="C70" s="20"/>
      <c r="D70" s="20"/>
      <c r="E70" s="20"/>
      <c r="F70" s="20"/>
      <c r="G70" s="20"/>
      <c r="H70" s="36"/>
      <c r="I70" s="6"/>
      <c r="J70" s="6"/>
      <c r="K70" s="6"/>
      <c r="L70" s="6"/>
    </row>
    <row r="71">
      <c r="A71" s="49" t="s">
        <v>91</v>
      </c>
      <c r="B71" s="20"/>
      <c r="C71" s="20"/>
      <c r="D71" s="20"/>
      <c r="E71" s="20"/>
      <c r="F71" s="27">
        <v>2593595.0</v>
      </c>
      <c r="G71" s="27">
        <v>2956708.0</v>
      </c>
      <c r="H71" s="36"/>
      <c r="I71" s="6"/>
      <c r="J71" s="6"/>
      <c r="K71" s="6"/>
      <c r="L71" s="6"/>
    </row>
    <row r="72">
      <c r="A72" s="49" t="s">
        <v>82</v>
      </c>
      <c r="B72" s="20"/>
      <c r="C72" s="20"/>
      <c r="D72" s="20"/>
      <c r="E72" s="20"/>
      <c r="F72" s="27">
        <v>292271.0</v>
      </c>
      <c r="G72" s="27">
        <v>362261.0</v>
      </c>
      <c r="H72" s="36"/>
      <c r="I72" s="6"/>
      <c r="J72" s="6"/>
      <c r="K72" s="6"/>
      <c r="L72" s="6"/>
    </row>
    <row r="73">
      <c r="A73" s="49" t="s">
        <v>86</v>
      </c>
      <c r="B73" s="20"/>
      <c r="C73" s="20"/>
      <c r="D73" s="20"/>
      <c r="E73" s="20"/>
      <c r="F73" s="27">
        <v>487879.0</v>
      </c>
      <c r="G73" s="27">
        <v>952729.0</v>
      </c>
      <c r="H73" s="36"/>
      <c r="I73" s="6"/>
      <c r="J73" s="6"/>
      <c r="K73" s="6"/>
      <c r="L73" s="6"/>
    </row>
    <row r="74">
      <c r="A74" s="20"/>
      <c r="B74" s="20"/>
      <c r="C74" s="20"/>
      <c r="D74" s="20"/>
      <c r="E74" s="20"/>
      <c r="F74" s="20"/>
      <c r="G74" s="20"/>
      <c r="H74" s="36"/>
      <c r="I74" s="6"/>
      <c r="J74" s="6"/>
      <c r="K74" s="6"/>
      <c r="L74" s="6"/>
    </row>
    <row r="75">
      <c r="A75" s="49" t="s">
        <v>92</v>
      </c>
      <c r="B75" s="20"/>
      <c r="C75" s="20"/>
      <c r="D75" s="20"/>
      <c r="E75" s="20"/>
      <c r="F75" s="27">
        <v>4879345.0</v>
      </c>
      <c r="G75" s="27">
        <v>6186660.0</v>
      </c>
      <c r="H75" s="36"/>
      <c r="I75" s="6"/>
      <c r="J75" s="6"/>
      <c r="K75" s="6"/>
      <c r="L75" s="6"/>
    </row>
    <row r="76">
      <c r="A76" s="20"/>
      <c r="B76" s="20"/>
      <c r="C76" s="20"/>
      <c r="D76" s="20"/>
      <c r="E76" s="20"/>
      <c r="F76" s="20"/>
      <c r="G76" s="20"/>
      <c r="H76" s="36"/>
      <c r="I76" s="6"/>
      <c r="J76" s="6"/>
      <c r="K76" s="6"/>
      <c r="L76" s="6"/>
    </row>
    <row r="77">
      <c r="A77" s="53" t="s">
        <v>93</v>
      </c>
      <c r="B77" s="20"/>
      <c r="C77" s="20"/>
      <c r="D77" s="20"/>
      <c r="E77" s="20"/>
      <c r="F77" s="20"/>
      <c r="G77" s="20"/>
      <c r="H77" s="36"/>
      <c r="I77" s="6"/>
      <c r="J77" s="6"/>
      <c r="K77" s="6"/>
      <c r="L77" s="6"/>
    </row>
    <row r="78">
      <c r="A78" s="49" t="s">
        <v>94</v>
      </c>
      <c r="B78" s="20"/>
      <c r="C78" s="20"/>
      <c r="D78" s="20"/>
      <c r="E78" s="20"/>
      <c r="F78" s="57">
        <v>126.0</v>
      </c>
      <c r="G78" s="57">
        <v>131.0</v>
      </c>
      <c r="H78" s="36"/>
      <c r="I78" s="6"/>
      <c r="J78" s="6"/>
      <c r="K78" s="6"/>
      <c r="L78" s="6"/>
    </row>
    <row r="79">
      <c r="A79" s="49" t="s">
        <v>95</v>
      </c>
      <c r="B79" s="20"/>
      <c r="C79" s="20"/>
      <c r="D79" s="20"/>
      <c r="E79" s="20"/>
      <c r="F79" s="27">
        <v>2345266.0</v>
      </c>
      <c r="G79" s="27">
        <v>3340436.0</v>
      </c>
      <c r="H79" s="36"/>
      <c r="I79" s="6"/>
      <c r="J79" s="6"/>
      <c r="K79" s="6"/>
      <c r="L79" s="6"/>
    </row>
    <row r="80">
      <c r="A80" s="49" t="s">
        <v>96</v>
      </c>
      <c r="B80" s="20"/>
      <c r="C80" s="20"/>
      <c r="D80" s="20"/>
      <c r="E80" s="20"/>
      <c r="F80" s="57">
        <v>-22.0</v>
      </c>
      <c r="G80" s="27">
        <v>-23985.0</v>
      </c>
      <c r="H80" s="36"/>
      <c r="I80" s="6"/>
      <c r="J80" s="6"/>
      <c r="K80" s="6"/>
      <c r="L80" s="6"/>
    </row>
    <row r="81">
      <c r="A81" s="49" t="s">
        <v>97</v>
      </c>
      <c r="B81" s="20"/>
      <c r="C81" s="20"/>
      <c r="D81" s="20"/>
      <c r="E81" s="20"/>
      <c r="F81" s="27">
        <v>-1433660.0</v>
      </c>
      <c r="G81" s="27">
        <v>-2001926.0</v>
      </c>
      <c r="H81" s="36"/>
      <c r="I81" s="6"/>
      <c r="J81" s="6"/>
      <c r="K81" s="6"/>
      <c r="L81" s="6"/>
    </row>
    <row r="82">
      <c r="A82" s="49" t="s">
        <v>98</v>
      </c>
      <c r="B82" s="20"/>
      <c r="C82" s="20"/>
      <c r="D82" s="20"/>
      <c r="E82" s="20"/>
      <c r="F82" s="27">
        <v>911710.0</v>
      </c>
      <c r="G82" s="27">
        <v>1314656.0</v>
      </c>
      <c r="H82" s="36"/>
      <c r="I82" s="6"/>
      <c r="J82" s="6"/>
      <c r="K82" s="6"/>
      <c r="L82" s="6"/>
    </row>
    <row r="83">
      <c r="A83" s="20"/>
      <c r="B83" s="20"/>
      <c r="C83" s="20"/>
      <c r="D83" s="20"/>
      <c r="E83" s="20"/>
      <c r="F83" s="20"/>
      <c r="G83" s="20"/>
      <c r="H83" s="36"/>
      <c r="I83" s="6"/>
      <c r="J83" s="6"/>
      <c r="K83" s="6"/>
      <c r="L83" s="6"/>
    </row>
    <row r="84">
      <c r="A84" s="53" t="s">
        <v>99</v>
      </c>
      <c r="B84" s="20"/>
      <c r="C84" s="20"/>
      <c r="D84" s="20"/>
      <c r="E84" s="20"/>
      <c r="F84" s="50">
        <v>5849251.0</v>
      </c>
      <c r="G84" s="50">
        <v>7547497.0</v>
      </c>
      <c r="H84" s="36"/>
      <c r="I84" s="6"/>
      <c r="J84" s="6"/>
      <c r="K84" s="6"/>
      <c r="L84" s="6"/>
    </row>
    <row r="85">
      <c r="A85" s="14"/>
      <c r="B85" s="14"/>
      <c r="C85" s="14"/>
      <c r="D85" s="14"/>
      <c r="E85" s="14"/>
      <c r="F85" s="14"/>
      <c r="G85" s="14"/>
      <c r="H85" s="36"/>
      <c r="I85" s="6"/>
      <c r="J85" s="6"/>
      <c r="K85" s="6"/>
      <c r="L85" s="6"/>
    </row>
    <row r="86">
      <c r="A86" s="14"/>
      <c r="B86" s="14"/>
      <c r="C86" s="14"/>
      <c r="D86" s="14"/>
      <c r="E86" s="14"/>
      <c r="F86" s="14"/>
      <c r="G86" s="14"/>
      <c r="H86" s="36"/>
      <c r="I86" s="6"/>
      <c r="J86" s="6"/>
      <c r="K86" s="6"/>
      <c r="L86" s="6"/>
    </row>
    <row r="87">
      <c r="A87" s="25" t="s">
        <v>100</v>
      </c>
      <c r="B87" s="26">
        <v>184200.0</v>
      </c>
      <c r="C87" s="26">
        <v>263800.0</v>
      </c>
      <c r="D87" s="26">
        <v>264800.0</v>
      </c>
      <c r="E87" s="26">
        <v>990400.0</v>
      </c>
      <c r="F87" s="60"/>
      <c r="G87" s="26">
        <v>1592300.0</v>
      </c>
      <c r="H87" s="29" t="s">
        <v>101</v>
      </c>
      <c r="I87" s="6"/>
      <c r="J87" s="6"/>
      <c r="K87" s="6"/>
      <c r="L87" s="6"/>
    </row>
    <row r="88">
      <c r="A88" s="17" t="s">
        <v>102</v>
      </c>
      <c r="B88" s="43">
        <v>0.9</v>
      </c>
      <c r="C88" s="43">
        <v>0.64</v>
      </c>
      <c r="D88" s="43">
        <v>0.13</v>
      </c>
      <c r="E88" s="43">
        <v>0.31</v>
      </c>
      <c r="F88" s="14"/>
      <c r="G88" s="43">
        <v>0.56</v>
      </c>
      <c r="H88" s="36"/>
      <c r="I88" s="6"/>
      <c r="J88" s="6"/>
      <c r="K88" s="6"/>
      <c r="L88" s="6"/>
    </row>
    <row r="89">
      <c r="A89" s="14"/>
      <c r="B89" s="14"/>
      <c r="C89" s="14"/>
      <c r="D89" s="14"/>
      <c r="E89" s="14"/>
      <c r="F89" s="14"/>
      <c r="G89" s="14"/>
      <c r="H89" s="36"/>
      <c r="I89" s="6"/>
      <c r="J89" s="6"/>
      <c r="K89" s="6"/>
      <c r="L89" s="6"/>
    </row>
    <row r="90">
      <c r="A90" s="25" t="s">
        <v>103</v>
      </c>
      <c r="B90" s="14"/>
      <c r="C90" s="14"/>
      <c r="D90" s="14"/>
      <c r="E90" s="14"/>
      <c r="F90" s="14"/>
      <c r="G90" s="26">
        <v>1083833.0</v>
      </c>
      <c r="H90" s="36"/>
      <c r="I90" s="6"/>
      <c r="J90" s="6"/>
      <c r="K90" s="6"/>
      <c r="L90" s="6"/>
    </row>
    <row r="91">
      <c r="A91" s="17" t="s">
        <v>102</v>
      </c>
      <c r="B91" s="14"/>
      <c r="C91" s="14"/>
      <c r="D91" s="14"/>
      <c r="E91" s="14"/>
      <c r="F91" s="14"/>
      <c r="G91" s="61">
        <v>0.38</v>
      </c>
      <c r="H91" s="36"/>
      <c r="I91" s="6"/>
      <c r="J91" s="6"/>
      <c r="K91" s="6"/>
      <c r="L91" s="6"/>
    </row>
  </sheetData>
  <mergeCells count="1">
    <mergeCell ref="F1:G1"/>
  </mergeCells>
  <drawing r:id="rId1"/>
</worksheet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3" t="s">
        <v>1</v>
      </c>
      <c r="G1" s="4"/>
      <c r="H1" s="5"/>
    </row>
    <row r="2">
      <c r="A2" s="7" t="s">
        <v>2</v>
      </c>
      <c r="B2" s="1" t="s">
        <v>3</v>
      </c>
      <c r="C2" s="2"/>
      <c r="D2" s="2"/>
      <c r="E2" s="2"/>
      <c r="F2" s="8">
        <v>42277.0</v>
      </c>
      <c r="G2" s="8">
        <v>42277.0</v>
      </c>
      <c r="H2" s="5"/>
    </row>
    <row r="3">
      <c r="A3" s="2"/>
      <c r="B3" s="9">
        <v>2011.0</v>
      </c>
      <c r="C3" s="9">
        <v>2012.0</v>
      </c>
      <c r="D3" s="9">
        <v>2013.0</v>
      </c>
      <c r="E3" s="9">
        <v>2014.0</v>
      </c>
      <c r="F3" s="9">
        <v>2014.0</v>
      </c>
      <c r="G3" s="9">
        <v>2015.0</v>
      </c>
      <c r="H3" s="10">
        <v>2015.0</v>
      </c>
      <c r="I3" s="11" t="s">
        <v>4</v>
      </c>
      <c r="J3" s="11">
        <v>2016.0</v>
      </c>
      <c r="K3" s="12" t="str">
        <f t="shared" ref="K3:S3" si="1">J3+1</f>
        <v>2017</v>
      </c>
      <c r="L3" s="12" t="str">
        <f t="shared" si="1"/>
        <v>2018</v>
      </c>
      <c r="M3" s="12" t="str">
        <f t="shared" si="1"/>
        <v>2019</v>
      </c>
      <c r="N3" s="12" t="str">
        <f t="shared" si="1"/>
        <v>2020</v>
      </c>
      <c r="O3" s="12" t="str">
        <f t="shared" si="1"/>
        <v>2021</v>
      </c>
      <c r="P3" s="12" t="str">
        <f t="shared" si="1"/>
        <v>2022</v>
      </c>
      <c r="Q3" s="12" t="str">
        <f t="shared" si="1"/>
        <v>2023</v>
      </c>
      <c r="R3" s="12" t="str">
        <f t="shared" si="1"/>
        <v>2024</v>
      </c>
      <c r="S3" s="12" t="str">
        <f t="shared" si="1"/>
        <v>2025</v>
      </c>
    </row>
    <row r="4">
      <c r="A4" s="1" t="s">
        <v>5</v>
      </c>
      <c r="B4" s="2"/>
      <c r="C4" s="2"/>
      <c r="D4" s="2"/>
      <c r="E4" s="2"/>
      <c r="F4" s="2"/>
      <c r="G4" s="2"/>
      <c r="H4" s="5"/>
    </row>
    <row r="5">
      <c r="A5" s="13" t="s">
        <v>6</v>
      </c>
      <c r="B5" s="14"/>
      <c r="C5" s="15">
        <v>2650.0</v>
      </c>
      <c r="D5" s="15">
        <v>22447.0</v>
      </c>
      <c r="E5" s="15">
        <v>31655.0</v>
      </c>
      <c r="F5" s="15">
        <v>24127.0</v>
      </c>
      <c r="G5" s="15">
        <v>34634.0</v>
      </c>
      <c r="H5" s="15">
        <v>50000.0</v>
      </c>
      <c r="J5" t="str">
        <f>2.066*50000</f>
        <v>103300</v>
      </c>
      <c r="K5" t="str">
        <f t="shared" ref="K5:S5" si="2">2.066*J5</f>
        <v>213417.8</v>
      </c>
      <c r="L5" t="str">
        <f t="shared" si="2"/>
        <v>440921.1748</v>
      </c>
      <c r="M5" t="str">
        <f t="shared" si="2"/>
        <v>910943.1471</v>
      </c>
      <c r="N5" t="str">
        <f t="shared" si="2"/>
        <v>1882008.542</v>
      </c>
      <c r="O5" t="str">
        <f t="shared" si="2"/>
        <v>3888229.648</v>
      </c>
      <c r="P5" t="str">
        <f t="shared" si="2"/>
        <v>8033082.452</v>
      </c>
      <c r="Q5" t="str">
        <f t="shared" si="2"/>
        <v>16596348.35</v>
      </c>
      <c r="R5" t="str">
        <f t="shared" si="2"/>
        <v>34288055.68</v>
      </c>
      <c r="S5" t="str">
        <f t="shared" si="2"/>
        <v>70839123.04</v>
      </c>
    </row>
    <row r="6">
      <c r="A6" s="17" t="s">
        <v>8</v>
      </c>
      <c r="B6" s="14"/>
      <c r="C6" s="18"/>
      <c r="D6" s="19">
        <v>7.47</v>
      </c>
      <c r="E6" s="19">
        <v>0.41</v>
      </c>
      <c r="F6" s="20"/>
      <c r="G6" s="19">
        <v>0.44</v>
      </c>
      <c r="H6" s="21"/>
    </row>
    <row r="7">
      <c r="A7" s="17" t="s">
        <v>9</v>
      </c>
      <c r="B7" s="14"/>
      <c r="C7" s="22">
        <v>118.0</v>
      </c>
      <c r="D7" s="22">
        <v>78.0</v>
      </c>
      <c r="E7" s="22">
        <v>90.0</v>
      </c>
      <c r="F7" s="22">
        <v>93.0</v>
      </c>
      <c r="G7" s="22">
        <v>76.0</v>
      </c>
      <c r="H7" s="23" t="str">
        <f>H9/H5</f>
        <v>75.766</v>
      </c>
      <c r="I7" s="52" t="s">
        <v>104</v>
      </c>
      <c r="J7" t="str">
        <f>0.94*H7</f>
        <v>71.22004</v>
      </c>
      <c r="K7" t="str">
        <f t="shared" ref="K7:S7" si="3">0.94*J7</f>
        <v>66.9468376</v>
      </c>
      <c r="L7" t="str">
        <f t="shared" si="3"/>
        <v>62.93002734</v>
      </c>
      <c r="M7" t="str">
        <f t="shared" si="3"/>
        <v>59.1542257</v>
      </c>
      <c r="N7" t="str">
        <f t="shared" si="3"/>
        <v>55.60497216</v>
      </c>
      <c r="O7" t="str">
        <f t="shared" si="3"/>
        <v>52.26867383</v>
      </c>
      <c r="P7" t="str">
        <f t="shared" si="3"/>
        <v>49.1325534</v>
      </c>
      <c r="Q7" t="str">
        <f t="shared" si="3"/>
        <v>46.1846002</v>
      </c>
      <c r="R7" t="str">
        <f t="shared" si="3"/>
        <v>43.41352419</v>
      </c>
      <c r="S7" t="str">
        <f t="shared" si="3"/>
        <v>40.80871273</v>
      </c>
    </row>
    <row r="8">
      <c r="A8" s="24" t="s">
        <v>5</v>
      </c>
      <c r="B8" s="14"/>
      <c r="C8" s="18"/>
      <c r="D8" s="18"/>
      <c r="E8" s="20"/>
      <c r="F8" s="18"/>
      <c r="G8" s="18"/>
      <c r="H8" s="21"/>
    </row>
    <row r="9">
      <c r="A9" s="25" t="s">
        <v>11</v>
      </c>
      <c r="B9" s="26">
        <v>148568.0</v>
      </c>
      <c r="C9" s="26">
        <v>385699.0</v>
      </c>
      <c r="D9" s="26">
        <v>1997786.0</v>
      </c>
      <c r="E9" s="27">
        <v>3192723.0</v>
      </c>
      <c r="F9" s="26">
        <v>2236062.0</v>
      </c>
      <c r="G9" s="26">
        <v>2623965.0</v>
      </c>
      <c r="H9" s="26">
        <v>3788300.0</v>
      </c>
      <c r="I9" s="16"/>
      <c r="J9" s="12" t="str">
        <f t="shared" ref="J9:S9" si="4">J5*J7</f>
        <v>7357030.132</v>
      </c>
      <c r="K9" s="12" t="str">
        <f t="shared" si="4"/>
        <v>14287646.8</v>
      </c>
      <c r="L9" s="12" t="str">
        <f t="shared" si="4"/>
        <v>27747181.59</v>
      </c>
      <c r="M9" s="12" t="str">
        <f t="shared" si="4"/>
        <v>53886136.53</v>
      </c>
      <c r="N9" s="12" t="str">
        <f t="shared" si="4"/>
        <v>104649032.6</v>
      </c>
      <c r="O9" s="12" t="str">
        <f t="shared" si="4"/>
        <v>203232607.2</v>
      </c>
      <c r="P9" s="12" t="str">
        <f t="shared" si="4"/>
        <v>394685852.6</v>
      </c>
      <c r="Q9" s="12" t="str">
        <f t="shared" si="4"/>
        <v>766495713.1</v>
      </c>
      <c r="R9" s="12" t="str">
        <f t="shared" si="4"/>
        <v>1488565335</v>
      </c>
      <c r="S9" s="12" t="str">
        <f t="shared" si="4"/>
        <v>2890853423</v>
      </c>
    </row>
    <row r="10">
      <c r="A10" s="25" t="s">
        <v>12</v>
      </c>
      <c r="B10" s="26">
        <v>99008.0</v>
      </c>
      <c r="C10" s="26">
        <v>313844.0</v>
      </c>
      <c r="D10" s="26">
        <v>1758284.0</v>
      </c>
      <c r="E10" s="26">
        <v>2863115.0</v>
      </c>
      <c r="F10" s="26">
        <v>1906454.0</v>
      </c>
      <c r="G10" s="14"/>
      <c r="H10" s="28" t="str">
        <f>H9</f>
        <v>3,788,300</v>
      </c>
      <c r="I10" s="6"/>
      <c r="J10" s="6" t="str">
        <f t="shared" ref="J10:S10" si="5">0</f>
        <v>0</v>
      </c>
      <c r="K10" s="6" t="str">
        <f t="shared" si="5"/>
        <v>0</v>
      </c>
      <c r="L10" s="6" t="str">
        <f t="shared" si="5"/>
        <v>0</v>
      </c>
      <c r="M10" s="6" t="str">
        <f t="shared" si="5"/>
        <v>0</v>
      </c>
      <c r="N10" s="6" t="str">
        <f t="shared" si="5"/>
        <v>0</v>
      </c>
      <c r="O10" s="6" t="str">
        <f t="shared" si="5"/>
        <v>0</v>
      </c>
      <c r="P10" s="6" t="str">
        <f t="shared" si="5"/>
        <v>0</v>
      </c>
      <c r="Q10" s="6" t="str">
        <f t="shared" si="5"/>
        <v>0</v>
      </c>
      <c r="R10" s="6" t="str">
        <f t="shared" si="5"/>
        <v>0</v>
      </c>
      <c r="S10" s="6" t="str">
        <f t="shared" si="5"/>
        <v>0</v>
      </c>
    </row>
    <row r="11">
      <c r="A11" s="25" t="s">
        <v>13</v>
      </c>
      <c r="B11" s="26">
        <v>2700.0</v>
      </c>
      <c r="C11" s="26">
        <v>40500.0</v>
      </c>
      <c r="D11" s="26">
        <v>194400.0</v>
      </c>
      <c r="E11" s="26">
        <v>216300.0</v>
      </c>
      <c r="F11" s="26">
        <v>216300.0</v>
      </c>
      <c r="G11" s="29">
        <v>0.0</v>
      </c>
      <c r="H11" s="30">
        <v>0.0</v>
      </c>
      <c r="I11" s="6"/>
      <c r="J11" s="6" t="str">
        <f t="shared" ref="J11:J12" si="7">0</f>
        <v>0</v>
      </c>
      <c r="K11" s="12" t="str">
        <f t="shared" ref="K11:S11" si="6">J11</f>
        <v>0</v>
      </c>
      <c r="L11" s="12" t="str">
        <f t="shared" si="6"/>
        <v>0</v>
      </c>
      <c r="M11" s="12" t="str">
        <f t="shared" si="6"/>
        <v>0</v>
      </c>
      <c r="N11" s="12" t="str">
        <f t="shared" si="6"/>
        <v>0</v>
      </c>
      <c r="O11" s="12" t="str">
        <f t="shared" si="6"/>
        <v>0</v>
      </c>
      <c r="P11" s="12" t="str">
        <f t="shared" si="6"/>
        <v>0</v>
      </c>
      <c r="Q11" s="12" t="str">
        <f t="shared" si="6"/>
        <v>0</v>
      </c>
      <c r="R11" s="12" t="str">
        <f t="shared" si="6"/>
        <v>0</v>
      </c>
      <c r="S11" s="12" t="str">
        <f t="shared" si="6"/>
        <v>0</v>
      </c>
    </row>
    <row r="12">
      <c r="A12" s="31" t="s">
        <v>14</v>
      </c>
      <c r="B12" s="32">
        <v>0.02</v>
      </c>
      <c r="C12" s="32">
        <v>0.11</v>
      </c>
      <c r="D12" s="32">
        <v>0.1</v>
      </c>
      <c r="E12" s="32">
        <v>0.07</v>
      </c>
      <c r="F12" s="32">
        <v>0.1</v>
      </c>
      <c r="G12" s="32">
        <v>0.0</v>
      </c>
      <c r="H12" s="33">
        <v>0.0</v>
      </c>
      <c r="I12" s="6"/>
      <c r="J12" s="6" t="str">
        <f t="shared" si="7"/>
        <v>0</v>
      </c>
      <c r="K12" s="6" t="str">
        <f t="shared" ref="K12:S12" si="8">0</f>
        <v>0</v>
      </c>
      <c r="L12" s="6" t="str">
        <f t="shared" si="8"/>
        <v>0</v>
      </c>
      <c r="M12" s="6" t="str">
        <f t="shared" si="8"/>
        <v>0</v>
      </c>
      <c r="N12" s="6" t="str">
        <f t="shared" si="8"/>
        <v>0</v>
      </c>
      <c r="O12" s="6" t="str">
        <f t="shared" si="8"/>
        <v>0</v>
      </c>
      <c r="P12" s="6" t="str">
        <f t="shared" si="8"/>
        <v>0</v>
      </c>
      <c r="Q12" s="6" t="str">
        <f t="shared" si="8"/>
        <v>0</v>
      </c>
      <c r="R12" s="6" t="str">
        <f t="shared" si="8"/>
        <v>0</v>
      </c>
      <c r="S12" s="6" t="str">
        <f t="shared" si="8"/>
        <v>0</v>
      </c>
    </row>
    <row r="13">
      <c r="A13" s="25" t="s">
        <v>15</v>
      </c>
      <c r="B13" s="26">
        <v>46860.0</v>
      </c>
      <c r="C13" s="26">
        <v>31355.0</v>
      </c>
      <c r="D13" s="26">
        <v>45102.0</v>
      </c>
      <c r="E13" s="26">
        <v>113308.0</v>
      </c>
      <c r="F13" s="26">
        <v>113308.0</v>
      </c>
      <c r="G13" s="29">
        <v>0.0</v>
      </c>
      <c r="H13" s="34" t="str">
        <f>H9*H14</f>
        <v>113649</v>
      </c>
      <c r="I13" s="6"/>
      <c r="J13" s="12" t="str">
        <f t="shared" ref="J13:S13" si="9">J9*J14</f>
        <v>220710.904</v>
      </c>
      <c r="K13" s="12" t="str">
        <f t="shared" si="9"/>
        <v>428629.4039</v>
      </c>
      <c r="L13" s="12" t="str">
        <f t="shared" si="9"/>
        <v>832415.4476</v>
      </c>
      <c r="M13" s="12" t="str">
        <f t="shared" si="9"/>
        <v>1616584.096</v>
      </c>
      <c r="N13" s="12" t="str">
        <f t="shared" si="9"/>
        <v>3139470.978</v>
      </c>
      <c r="O13" s="12" t="str">
        <f t="shared" si="9"/>
        <v>6096978.217</v>
      </c>
      <c r="P13" s="12" t="str">
        <f t="shared" si="9"/>
        <v>11840575.58</v>
      </c>
      <c r="Q13" s="12" t="str">
        <f t="shared" si="9"/>
        <v>22994871.39</v>
      </c>
      <c r="R13" s="12" t="str">
        <f t="shared" si="9"/>
        <v>44656960.04</v>
      </c>
      <c r="S13" s="12" t="str">
        <f t="shared" si="9"/>
        <v>86725602.68</v>
      </c>
    </row>
    <row r="14">
      <c r="A14" s="31" t="s">
        <v>14</v>
      </c>
      <c r="B14" s="32">
        <v>0.32</v>
      </c>
      <c r="C14" s="32">
        <v>0.08</v>
      </c>
      <c r="D14" s="32">
        <v>0.02</v>
      </c>
      <c r="E14" s="32">
        <v>0.04</v>
      </c>
      <c r="F14" s="32">
        <v>0.05</v>
      </c>
      <c r="G14" s="32">
        <v>0.0</v>
      </c>
      <c r="H14" s="33">
        <v>0.03</v>
      </c>
      <c r="I14" s="11" t="s">
        <v>16</v>
      </c>
      <c r="J14" s="35">
        <v>0.03</v>
      </c>
      <c r="K14" s="35">
        <v>0.03</v>
      </c>
      <c r="L14" s="35">
        <v>0.03</v>
      </c>
      <c r="M14" s="35">
        <v>0.03</v>
      </c>
      <c r="N14" s="35">
        <v>0.03</v>
      </c>
      <c r="O14" s="35">
        <v>0.03</v>
      </c>
      <c r="P14" s="35">
        <v>0.03</v>
      </c>
      <c r="Q14" s="35">
        <v>0.03</v>
      </c>
      <c r="R14" s="35">
        <v>0.03</v>
      </c>
      <c r="S14" s="35">
        <v>0.03</v>
      </c>
    </row>
    <row r="15">
      <c r="A15" s="25" t="s">
        <v>17</v>
      </c>
      <c r="B15" s="26">
        <v>55674.0</v>
      </c>
      <c r="C15" s="26">
        <v>27557.0</v>
      </c>
      <c r="D15" s="26">
        <v>15710.0</v>
      </c>
      <c r="E15" s="26">
        <v>5633.0</v>
      </c>
      <c r="F15" s="26">
        <v>5633.0</v>
      </c>
      <c r="G15" s="29">
        <v>0.0</v>
      </c>
      <c r="H15" s="30">
        <v>0.0</v>
      </c>
      <c r="I15" s="11" t="s">
        <v>18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1">
        <v>0.0</v>
      </c>
      <c r="P15" s="11">
        <v>0.0</v>
      </c>
      <c r="Q15" s="11">
        <v>0.0</v>
      </c>
      <c r="R15" s="11">
        <v>0.0</v>
      </c>
      <c r="S15" s="11">
        <v>0.0</v>
      </c>
    </row>
    <row r="16">
      <c r="A16" s="25" t="s">
        <v>19</v>
      </c>
      <c r="B16" s="14"/>
      <c r="C16" s="14"/>
      <c r="D16" s="14"/>
      <c r="E16" s="14"/>
      <c r="F16" s="14"/>
      <c r="G16" s="26">
        <v>207680.0</v>
      </c>
      <c r="H16" s="23" t="str">
        <f>(G16/G9)*H9</f>
        <v>299834.0847</v>
      </c>
      <c r="I16" s="11" t="s">
        <v>20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1">
        <v>0.0</v>
      </c>
      <c r="P16" s="11">
        <v>0.0</v>
      </c>
      <c r="Q16" s="11">
        <v>0.0</v>
      </c>
      <c r="R16" s="11">
        <v>0.0</v>
      </c>
      <c r="S16" s="11">
        <v>0.0</v>
      </c>
    </row>
    <row r="17">
      <c r="A17" s="25" t="s">
        <v>21</v>
      </c>
      <c r="B17" s="26">
        <v>204242.0</v>
      </c>
      <c r="C17" s="26">
        <v>413256.0</v>
      </c>
      <c r="D17" s="26">
        <v>2013496.0</v>
      </c>
      <c r="E17" s="26">
        <v>3198356.0</v>
      </c>
      <c r="F17" s="26">
        <v>2241695.0</v>
      </c>
      <c r="G17" s="26">
        <v>2831645.0</v>
      </c>
      <c r="H17" s="28" t="str">
        <f>sum(H9+H13+H16)</f>
        <v>4,201,783</v>
      </c>
      <c r="I17" s="6"/>
      <c r="J17" s="12" t="str">
        <f t="shared" ref="J17:S17" si="10">sum(J9:J16)</f>
        <v>7577741.066</v>
      </c>
      <c r="K17" s="12" t="str">
        <f t="shared" si="10"/>
        <v>14716276.23</v>
      </c>
      <c r="L17" s="12" t="str">
        <f t="shared" si="10"/>
        <v>28579597.06</v>
      </c>
      <c r="M17" s="12" t="str">
        <f t="shared" si="10"/>
        <v>55502720.65</v>
      </c>
      <c r="N17" s="12" t="str">
        <f t="shared" si="10"/>
        <v>107788503.6</v>
      </c>
      <c r="O17" s="12" t="str">
        <f t="shared" si="10"/>
        <v>209329585.5</v>
      </c>
      <c r="P17" s="12" t="str">
        <f t="shared" si="10"/>
        <v>406526428.2</v>
      </c>
      <c r="Q17" s="12" t="str">
        <f t="shared" si="10"/>
        <v>789490584.5</v>
      </c>
      <c r="R17" s="12" t="str">
        <f t="shared" si="10"/>
        <v>1533222295</v>
      </c>
      <c r="S17" s="12" t="str">
        <f t="shared" si="10"/>
        <v>2977579025</v>
      </c>
    </row>
    <row r="18">
      <c r="A18" s="14"/>
      <c r="B18" s="14"/>
      <c r="C18" s="14"/>
      <c r="D18" s="14"/>
      <c r="E18" s="14"/>
      <c r="F18" s="14"/>
      <c r="G18" s="14"/>
      <c r="H18" s="36"/>
      <c r="I18" s="6"/>
      <c r="J18" s="6"/>
      <c r="K18" s="6"/>
      <c r="L18" s="6"/>
    </row>
    <row r="19">
      <c r="A19" s="24" t="s">
        <v>22</v>
      </c>
      <c r="B19" s="18"/>
      <c r="C19" s="18"/>
      <c r="D19" s="18"/>
      <c r="E19" s="18"/>
      <c r="F19" s="14"/>
      <c r="G19" s="14"/>
      <c r="H19" s="36"/>
      <c r="I19" s="6"/>
      <c r="J19" s="6"/>
      <c r="K19" s="6"/>
      <c r="L19" s="6"/>
    </row>
    <row r="20">
      <c r="A20" s="25" t="s">
        <v>23</v>
      </c>
      <c r="B20" s="26">
        <v>98563.0</v>
      </c>
      <c r="C20" s="26">
        <v>342833.0</v>
      </c>
      <c r="D20" s="26">
        <v>1437795.0</v>
      </c>
      <c r="E20" s="27">
        <v>2078080.0</v>
      </c>
      <c r="F20" s="26">
        <v>1451092.0</v>
      </c>
      <c r="G20" s="26">
        <v>1647993.0</v>
      </c>
      <c r="H20" s="34" t="str">
        <f>(H10+H13)*H21</f>
        <v>2536266.85</v>
      </c>
      <c r="I20" s="6"/>
      <c r="J20" s="12" t="str">
        <f t="shared" ref="J20:S20" si="11">J17*J21</f>
        <v>5001309.104</v>
      </c>
      <c r="K20" s="12" t="str">
        <f t="shared" si="11"/>
        <v>9615614.89</v>
      </c>
      <c r="L20" s="12" t="str">
        <f t="shared" si="11"/>
        <v>18487169.63</v>
      </c>
      <c r="M20" s="12" t="str">
        <f t="shared" si="11"/>
        <v>35543794.67</v>
      </c>
      <c r="N20" s="12" t="str">
        <f t="shared" si="11"/>
        <v>68337196.27</v>
      </c>
      <c r="O20" s="12" t="str">
        <f t="shared" si="11"/>
        <v>131386432.9</v>
      </c>
      <c r="P20" s="12" t="str">
        <f t="shared" si="11"/>
        <v>252606131.1</v>
      </c>
      <c r="Q20" s="12" t="str">
        <f t="shared" si="11"/>
        <v>485665498.8</v>
      </c>
      <c r="R20" s="12" t="str">
        <f t="shared" si="11"/>
        <v>933750007</v>
      </c>
      <c r="S20" s="12" t="str">
        <f t="shared" si="11"/>
        <v>1795246065</v>
      </c>
    </row>
    <row r="21">
      <c r="A21" s="31" t="s">
        <v>24</v>
      </c>
      <c r="B21" s="32">
        <v>0.68</v>
      </c>
      <c r="C21" s="32">
        <v>0.99</v>
      </c>
      <c r="D21" s="32">
        <v>0.8</v>
      </c>
      <c r="E21" s="32">
        <v>0.7</v>
      </c>
      <c r="F21" s="32">
        <v>0.72</v>
      </c>
      <c r="G21" s="32">
        <v>0.63</v>
      </c>
      <c r="H21" s="33">
        <v>0.65</v>
      </c>
      <c r="I21" s="11" t="s">
        <v>105</v>
      </c>
      <c r="J21" s="6" t="str">
        <f>0.66</f>
        <v>0.66</v>
      </c>
      <c r="K21" s="12" t="str">
        <f t="shared" ref="K21:S21" si="12">0.99*J21</f>
        <v>0.6534</v>
      </c>
      <c r="L21" s="12" t="str">
        <f t="shared" si="12"/>
        <v>0.646866</v>
      </c>
      <c r="M21" s="12" t="str">
        <f t="shared" si="12"/>
        <v>0.64039734</v>
      </c>
      <c r="N21" s="12" t="str">
        <f t="shared" si="12"/>
        <v>0.6339933666</v>
      </c>
      <c r="O21" s="12" t="str">
        <f t="shared" si="12"/>
        <v>0.6276534329</v>
      </c>
      <c r="P21" s="12" t="str">
        <f t="shared" si="12"/>
        <v>0.6213768986</v>
      </c>
      <c r="Q21" s="12" t="str">
        <f t="shared" si="12"/>
        <v>0.6151631296</v>
      </c>
      <c r="R21" s="12" t="str">
        <f t="shared" si="12"/>
        <v>0.6090114983</v>
      </c>
      <c r="S21" s="12" t="str">
        <f t="shared" si="12"/>
        <v>0.6029213833</v>
      </c>
    </row>
    <row r="22">
      <c r="A22" s="25" t="s">
        <v>17</v>
      </c>
      <c r="B22" s="26">
        <v>27165.0</v>
      </c>
      <c r="C22" s="26">
        <v>11531.0</v>
      </c>
      <c r="D22" s="26">
        <v>13356.0</v>
      </c>
      <c r="E22" s="27">
        <v>6674.0</v>
      </c>
      <c r="F22" s="26">
        <v>6674.0</v>
      </c>
      <c r="G22" s="29">
        <v>0.0</v>
      </c>
      <c r="H22" s="30">
        <v>0.0</v>
      </c>
      <c r="J22" s="11">
        <v>0.0</v>
      </c>
      <c r="K22" s="11">
        <v>0.0</v>
      </c>
      <c r="L22" s="11">
        <v>0.0</v>
      </c>
      <c r="M22" s="11">
        <v>0.0</v>
      </c>
      <c r="N22" s="11">
        <v>0.0</v>
      </c>
      <c r="O22" s="11">
        <v>0.0</v>
      </c>
      <c r="P22" s="11">
        <v>0.0</v>
      </c>
      <c r="Q22" s="11">
        <v>0.0</v>
      </c>
      <c r="R22" s="11">
        <v>0.0</v>
      </c>
      <c r="S22" s="11">
        <v>0.0</v>
      </c>
    </row>
    <row r="23">
      <c r="A23" s="31" t="s">
        <v>26</v>
      </c>
      <c r="B23" s="32">
        <v>0.49</v>
      </c>
      <c r="C23" s="32">
        <v>0.42</v>
      </c>
      <c r="D23" s="32">
        <v>0.85</v>
      </c>
      <c r="E23" s="32">
        <v>1.18</v>
      </c>
      <c r="F23" s="18"/>
      <c r="G23" s="18"/>
      <c r="H23" s="37">
        <v>0.0</v>
      </c>
      <c r="I23" s="6"/>
      <c r="J23" s="11">
        <v>0.0</v>
      </c>
      <c r="K23" s="11">
        <v>0.0</v>
      </c>
      <c r="L23" s="11">
        <v>0.0</v>
      </c>
      <c r="M23" s="11">
        <v>0.0</v>
      </c>
      <c r="N23" s="11">
        <v>0.0</v>
      </c>
      <c r="O23" s="11">
        <v>0.0</v>
      </c>
      <c r="P23" s="11">
        <v>0.0</v>
      </c>
      <c r="Q23" s="11">
        <v>0.0</v>
      </c>
      <c r="R23" s="11">
        <v>0.0</v>
      </c>
      <c r="S23" s="11">
        <v>0.0</v>
      </c>
    </row>
    <row r="24">
      <c r="A24" s="38" t="s">
        <v>27</v>
      </c>
      <c r="B24" s="18"/>
      <c r="C24" s="18"/>
      <c r="D24" s="18"/>
      <c r="E24" s="18"/>
      <c r="F24" s="18"/>
      <c r="G24" s="39">
        <v>199846.0</v>
      </c>
      <c r="H24" s="40" t="str">
        <f>(G24/G16)*H16</f>
        <v>288523.8949</v>
      </c>
      <c r="I24" s="11" t="s">
        <v>20</v>
      </c>
      <c r="J24" s="11">
        <v>0.0</v>
      </c>
      <c r="K24" s="11">
        <v>0.0</v>
      </c>
      <c r="L24" s="11">
        <v>0.0</v>
      </c>
      <c r="M24" s="11">
        <v>0.0</v>
      </c>
      <c r="N24" s="11">
        <v>0.0</v>
      </c>
      <c r="O24" s="11">
        <v>0.0</v>
      </c>
      <c r="P24" s="11">
        <v>0.0</v>
      </c>
      <c r="Q24" s="11">
        <v>0.0</v>
      </c>
      <c r="R24" s="11">
        <v>0.0</v>
      </c>
      <c r="S24" s="11">
        <v>0.0</v>
      </c>
    </row>
    <row r="25">
      <c r="A25" s="25" t="s">
        <v>28</v>
      </c>
      <c r="B25" s="26">
        <v>125728.0</v>
      </c>
      <c r="C25" s="26">
        <v>354364.0</v>
      </c>
      <c r="D25" s="26">
        <v>1451151.0</v>
      </c>
      <c r="E25" s="26">
        <v>2084754.0</v>
      </c>
      <c r="F25" s="26">
        <v>1457766.0</v>
      </c>
      <c r="G25" s="26">
        <v>1847839.0</v>
      </c>
      <c r="H25" s="34" t="str">
        <f>H20+H24</f>
        <v>2824790.745</v>
      </c>
      <c r="I25" s="6"/>
      <c r="J25" s="12" t="str">
        <f t="shared" ref="J25:S25" si="13">J20</f>
        <v>5001309.104</v>
      </c>
      <c r="K25" s="12" t="str">
        <f t="shared" si="13"/>
        <v>9615614.89</v>
      </c>
      <c r="L25" s="12" t="str">
        <f t="shared" si="13"/>
        <v>18487169.63</v>
      </c>
      <c r="M25" s="12" t="str">
        <f t="shared" si="13"/>
        <v>35543794.67</v>
      </c>
      <c r="N25" s="12" t="str">
        <f t="shared" si="13"/>
        <v>68337196.27</v>
      </c>
      <c r="O25" s="12" t="str">
        <f t="shared" si="13"/>
        <v>131386432.9</v>
      </c>
      <c r="P25" s="12" t="str">
        <f t="shared" si="13"/>
        <v>252606131.1</v>
      </c>
      <c r="Q25" s="12" t="str">
        <f t="shared" si="13"/>
        <v>485665498.8</v>
      </c>
      <c r="R25" s="12" t="str">
        <f t="shared" si="13"/>
        <v>933750007</v>
      </c>
      <c r="S25" s="12" t="str">
        <f t="shared" si="13"/>
        <v>1795246065</v>
      </c>
    </row>
    <row r="26">
      <c r="A26" s="25" t="s">
        <v>29</v>
      </c>
      <c r="B26" s="26">
        <v>78514.0</v>
      </c>
      <c r="C26" s="26">
        <v>58892.0</v>
      </c>
      <c r="D26" s="26">
        <v>562345.0</v>
      </c>
      <c r="E26" s="26">
        <v>1113602.0</v>
      </c>
      <c r="F26" s="26">
        <v>619974.0</v>
      </c>
      <c r="G26" s="26">
        <v>983806.0</v>
      </c>
      <c r="H26" s="28" t="str">
        <f>H17-H25</f>
        <v>1,376,992</v>
      </c>
      <c r="I26" s="6"/>
      <c r="J26" s="12" t="str">
        <f t="shared" ref="J26:S26" si="14">J17-J25</f>
        <v>2576431.962</v>
      </c>
      <c r="K26" s="12" t="str">
        <f t="shared" si="14"/>
        <v>5100661.342</v>
      </c>
      <c r="L26" s="12" t="str">
        <f t="shared" si="14"/>
        <v>10092427.43</v>
      </c>
      <c r="M26" s="12" t="str">
        <f t="shared" si="14"/>
        <v>19958925.98</v>
      </c>
      <c r="N26" s="12" t="str">
        <f t="shared" si="14"/>
        <v>39451307.32</v>
      </c>
      <c r="O26" s="12" t="str">
        <f t="shared" si="14"/>
        <v>77943152.54</v>
      </c>
      <c r="P26" s="12" t="str">
        <f t="shared" si="14"/>
        <v>153920297</v>
      </c>
      <c r="Q26" s="12" t="str">
        <f t="shared" si="14"/>
        <v>303825085.7</v>
      </c>
      <c r="R26" s="12" t="str">
        <f t="shared" si="14"/>
        <v>599472287.8</v>
      </c>
      <c r="S26" s="12" t="str">
        <f t="shared" si="14"/>
        <v>1182332960</v>
      </c>
    </row>
    <row r="27">
      <c r="A27" s="14"/>
      <c r="B27" s="19">
        <v>0.53</v>
      </c>
      <c r="C27" s="19">
        <v>0.15</v>
      </c>
      <c r="D27" s="19">
        <v>0.28</v>
      </c>
      <c r="E27" s="19">
        <v>0.35</v>
      </c>
      <c r="F27" s="19">
        <v>0.28</v>
      </c>
      <c r="G27" s="19">
        <v>0.37</v>
      </c>
      <c r="H27" s="34" t="str">
        <f>H26/H17</f>
        <v>0.3277161891</v>
      </c>
      <c r="I27" s="6"/>
      <c r="J27" s="12" t="str">
        <f t="shared" ref="J27:S27" si="15">J26/J17</f>
        <v>0.34</v>
      </c>
      <c r="K27" s="12" t="str">
        <f t="shared" si="15"/>
        <v>0.3466</v>
      </c>
      <c r="L27" s="12" t="str">
        <f t="shared" si="15"/>
        <v>0.353134</v>
      </c>
      <c r="M27" s="12" t="str">
        <f t="shared" si="15"/>
        <v>0.35960266</v>
      </c>
      <c r="N27" s="12" t="str">
        <f t="shared" si="15"/>
        <v>0.3660066334</v>
      </c>
      <c r="O27" s="12" t="str">
        <f t="shared" si="15"/>
        <v>0.3723465671</v>
      </c>
      <c r="P27" s="12" t="str">
        <f t="shared" si="15"/>
        <v>0.3786231014</v>
      </c>
      <c r="Q27" s="12" t="str">
        <f t="shared" si="15"/>
        <v>0.3848368704</v>
      </c>
      <c r="R27" s="12" t="str">
        <f t="shared" si="15"/>
        <v>0.3909885017</v>
      </c>
      <c r="S27" s="12" t="str">
        <f t="shared" si="15"/>
        <v>0.3970786167</v>
      </c>
    </row>
    <row r="28">
      <c r="A28" s="24" t="s">
        <v>30</v>
      </c>
      <c r="B28" s="14"/>
      <c r="C28" s="14"/>
      <c r="D28" s="14"/>
      <c r="E28" s="14"/>
      <c r="F28" s="14"/>
      <c r="G28" s="14"/>
      <c r="H28" s="36"/>
      <c r="I28" s="6"/>
      <c r="J28" s="6"/>
      <c r="K28" s="6"/>
      <c r="L28" s="6"/>
    </row>
    <row r="29">
      <c r="A29" s="25" t="s">
        <v>31</v>
      </c>
      <c r="B29" s="26">
        <v>208981.0</v>
      </c>
      <c r="C29" s="26">
        <v>273978.0</v>
      </c>
      <c r="D29" s="26">
        <v>231976.0</v>
      </c>
      <c r="E29" s="27">
        <v>464700.0</v>
      </c>
      <c r="F29" s="26">
        <v>325135.0</v>
      </c>
      <c r="G29" s="27">
        <v>527657.0</v>
      </c>
      <c r="H29" s="34" t="str">
        <f>H17*H30</f>
        <v>798338.7861</v>
      </c>
      <c r="I29" s="6"/>
      <c r="J29" s="12" t="str">
        <f t="shared" ref="J29:S29" si="16">J30*J17</f>
        <v>1367782.262</v>
      </c>
      <c r="K29" s="12" t="str">
        <f t="shared" si="16"/>
        <v>2523473.467</v>
      </c>
      <c r="L29" s="12" t="str">
        <f t="shared" si="16"/>
        <v>4655652.086</v>
      </c>
      <c r="M29" s="12" t="str">
        <f t="shared" si="16"/>
        <v>8589389.444</v>
      </c>
      <c r="N29" s="12" t="str">
        <f t="shared" si="16"/>
        <v>15846890.98</v>
      </c>
      <c r="O29" s="12" t="str">
        <f t="shared" si="16"/>
        <v>29236531.34</v>
      </c>
      <c r="P29" s="12" t="str">
        <f t="shared" si="16"/>
        <v>53939587.66</v>
      </c>
      <c r="Q29" s="12" t="str">
        <f t="shared" si="16"/>
        <v>99515194.98</v>
      </c>
      <c r="R29" s="12" t="str">
        <f t="shared" si="16"/>
        <v>183599364.8</v>
      </c>
      <c r="S29" s="12" t="str">
        <f t="shared" si="16"/>
        <v>338729444.9</v>
      </c>
    </row>
    <row r="30">
      <c r="A30" s="31" t="s">
        <v>32</v>
      </c>
      <c r="B30" s="19">
        <v>1.02</v>
      </c>
      <c r="C30" s="19">
        <v>0.66</v>
      </c>
      <c r="D30" s="19">
        <v>0.12</v>
      </c>
      <c r="E30" s="19">
        <v>0.15</v>
      </c>
      <c r="F30" s="19">
        <v>0.15</v>
      </c>
      <c r="G30" s="19">
        <v>0.19</v>
      </c>
      <c r="H30" s="41">
        <v>0.19</v>
      </c>
      <c r="I30" s="42" t="s">
        <v>106</v>
      </c>
      <c r="J30" s="21" t="str">
        <f>0.19*0.95</f>
        <v>0.1805</v>
      </c>
      <c r="K30" s="23" t="str">
        <f t="shared" ref="K30:S30" si="17">J30*0.95</f>
        <v>0.171475</v>
      </c>
      <c r="L30" s="23" t="str">
        <f t="shared" si="17"/>
        <v>0.16290125</v>
      </c>
      <c r="M30" s="23" t="str">
        <f t="shared" si="17"/>
        <v>0.1547561875</v>
      </c>
      <c r="N30" s="23" t="str">
        <f t="shared" si="17"/>
        <v>0.1470183781</v>
      </c>
      <c r="O30" s="23" t="str">
        <f t="shared" si="17"/>
        <v>0.1396674592</v>
      </c>
      <c r="P30" s="23" t="str">
        <f t="shared" si="17"/>
        <v>0.1326840863</v>
      </c>
      <c r="Q30" s="23" t="str">
        <f t="shared" si="17"/>
        <v>0.1260498819</v>
      </c>
      <c r="R30" s="23" t="str">
        <f t="shared" si="17"/>
        <v>0.1197473878</v>
      </c>
      <c r="S30" s="23" t="str">
        <f t="shared" si="17"/>
        <v>0.1137600185</v>
      </c>
    </row>
    <row r="31">
      <c r="A31" s="25" t="s">
        <v>34</v>
      </c>
      <c r="B31" s="26">
        <v>104102.0</v>
      </c>
      <c r="C31" s="26">
        <v>150372.0</v>
      </c>
      <c r="D31" s="26">
        <v>285569.0</v>
      </c>
      <c r="E31" s="27">
        <v>603660.0</v>
      </c>
      <c r="F31" s="26">
        <v>406690.0</v>
      </c>
      <c r="G31" s="27">
        <v>633578.0</v>
      </c>
      <c r="H31" s="34" t="str">
        <f>H17*H32</f>
        <v>924392.2786</v>
      </c>
      <c r="I31" s="6"/>
      <c r="J31" s="12" t="str">
        <f t="shared" ref="J31:S31" si="18">J32*J17</f>
        <v>1558741.337</v>
      </c>
      <c r="K31" s="12" t="str">
        <f t="shared" si="18"/>
        <v>2830374.049</v>
      </c>
      <c r="L31" s="12" t="str">
        <f t="shared" si="18"/>
        <v>5139414.139</v>
      </c>
      <c r="M31" s="12" t="str">
        <f t="shared" si="18"/>
        <v>9332186.22</v>
      </c>
      <c r="N31" s="12" t="str">
        <f t="shared" si="18"/>
        <v>16945452.79</v>
      </c>
      <c r="O31" s="12" t="str">
        <f t="shared" si="18"/>
        <v>30769678.57</v>
      </c>
      <c r="P31" s="12" t="str">
        <f t="shared" si="18"/>
        <v>55871810.04</v>
      </c>
      <c r="Q31" s="12" t="str">
        <f t="shared" si="18"/>
        <v>101452446.1</v>
      </c>
      <c r="R31" s="12" t="str">
        <f t="shared" si="18"/>
        <v>184218102.4</v>
      </c>
      <c r="S31" s="12" t="str">
        <f t="shared" si="18"/>
        <v>334504593.6</v>
      </c>
    </row>
    <row r="32">
      <c r="A32" s="31" t="s">
        <v>32</v>
      </c>
      <c r="B32" s="43">
        <v>0.51</v>
      </c>
      <c r="C32" s="43">
        <v>0.36</v>
      </c>
      <c r="D32" s="43">
        <v>0.14</v>
      </c>
      <c r="E32" s="43">
        <v>0.19</v>
      </c>
      <c r="F32" s="43">
        <v>0.18</v>
      </c>
      <c r="G32" s="43">
        <v>0.22</v>
      </c>
      <c r="H32" s="35">
        <v>0.22</v>
      </c>
      <c r="I32" s="11" t="s">
        <v>35</v>
      </c>
      <c r="J32" s="12" t="str">
        <f>0.935*G32</f>
        <v>0.2057</v>
      </c>
      <c r="K32" s="12" t="str">
        <f t="shared" ref="K32:S32" si="19">0.935*J32</f>
        <v>0.1923295</v>
      </c>
      <c r="L32" s="12" t="str">
        <f t="shared" si="19"/>
        <v>0.1798280825</v>
      </c>
      <c r="M32" s="12" t="str">
        <f t="shared" si="19"/>
        <v>0.1681392571</v>
      </c>
      <c r="N32" s="12" t="str">
        <f t="shared" si="19"/>
        <v>0.1572102054</v>
      </c>
      <c r="O32" s="12" t="str">
        <f t="shared" si="19"/>
        <v>0.1469915421</v>
      </c>
      <c r="P32" s="12" t="str">
        <f t="shared" si="19"/>
        <v>0.1374370918</v>
      </c>
      <c r="Q32" s="12" t="str">
        <f t="shared" si="19"/>
        <v>0.1285036809</v>
      </c>
      <c r="R32" s="12" t="str">
        <f t="shared" si="19"/>
        <v>0.1201509416</v>
      </c>
      <c r="S32" s="12" t="str">
        <f t="shared" si="19"/>
        <v>0.1123411304</v>
      </c>
    </row>
    <row r="33">
      <c r="A33" s="25" t="s">
        <v>36</v>
      </c>
      <c r="B33" s="26">
        <v>313083.0</v>
      </c>
      <c r="C33" s="26">
        <v>424350.0</v>
      </c>
      <c r="D33" s="26">
        <v>517545.0</v>
      </c>
      <c r="E33" s="26">
        <v>1068360.0</v>
      </c>
      <c r="F33" s="26">
        <v>731825.0</v>
      </c>
      <c r="G33" s="26">
        <v>1161235.0</v>
      </c>
      <c r="H33" s="34" t="str">
        <f>H31+H29</f>
        <v>1722731.065</v>
      </c>
      <c r="I33" s="6"/>
      <c r="J33" s="12" t="str">
        <f t="shared" ref="J33:S33" si="20">J29+J31</f>
        <v>2926523.6</v>
      </c>
      <c r="K33" s="12" t="str">
        <f t="shared" si="20"/>
        <v>5353847.516</v>
      </c>
      <c r="L33" s="12" t="str">
        <f t="shared" si="20"/>
        <v>9795066.225</v>
      </c>
      <c r="M33" s="12" t="str">
        <f t="shared" si="20"/>
        <v>17921575.66</v>
      </c>
      <c r="N33" s="12" t="str">
        <f t="shared" si="20"/>
        <v>32792343.77</v>
      </c>
      <c r="O33" s="12" t="str">
        <f t="shared" si="20"/>
        <v>60006209.92</v>
      </c>
      <c r="P33" s="12" t="str">
        <f t="shared" si="20"/>
        <v>109811397.7</v>
      </c>
      <c r="Q33" s="12" t="str">
        <f t="shared" si="20"/>
        <v>200967641.1</v>
      </c>
      <c r="R33" s="12" t="str">
        <f t="shared" si="20"/>
        <v>367817467.2</v>
      </c>
      <c r="S33" s="12" t="str">
        <f t="shared" si="20"/>
        <v>673234038.4</v>
      </c>
    </row>
    <row r="34">
      <c r="A34" s="18"/>
      <c r="B34" s="18"/>
      <c r="C34" s="18"/>
      <c r="D34" s="18"/>
      <c r="E34" s="18"/>
      <c r="F34" s="18"/>
      <c r="G34" s="18"/>
      <c r="H34" s="44"/>
      <c r="I34" s="6"/>
      <c r="J34" s="6"/>
      <c r="K34" s="6"/>
      <c r="L34" s="6"/>
    </row>
    <row r="35">
      <c r="A35" s="24" t="s">
        <v>37</v>
      </c>
      <c r="B35" s="26">
        <v>-234569.0</v>
      </c>
      <c r="C35" s="26">
        <v>-365458.0</v>
      </c>
      <c r="D35" s="26">
        <v>44800.0</v>
      </c>
      <c r="E35" s="26">
        <v>45242.0</v>
      </c>
      <c r="F35" s="26">
        <v>-111851.0</v>
      </c>
      <c r="G35" s="26">
        <v>-177429.0</v>
      </c>
      <c r="H35" s="28" t="str">
        <f>H26-H33</f>
        <v>-345,739</v>
      </c>
      <c r="I35" s="6"/>
      <c r="J35" s="12" t="str">
        <f t="shared" ref="J35:S35" si="21">J26-J33</f>
        <v>-350091.6372</v>
      </c>
      <c r="K35" s="12" t="str">
        <f t="shared" si="21"/>
        <v>-253186.1744</v>
      </c>
      <c r="L35" s="12" t="str">
        <f t="shared" si="21"/>
        <v>297361.2047</v>
      </c>
      <c r="M35" s="12" t="str">
        <f t="shared" si="21"/>
        <v>2037350.32</v>
      </c>
      <c r="N35" s="12" t="str">
        <f t="shared" si="21"/>
        <v>6658963.548</v>
      </c>
      <c r="O35" s="12" t="str">
        <f t="shared" si="21"/>
        <v>17936942.63</v>
      </c>
      <c r="P35" s="12" t="str">
        <f t="shared" si="21"/>
        <v>44108899.33</v>
      </c>
      <c r="Q35" s="12" t="str">
        <f t="shared" si="21"/>
        <v>102857444.6</v>
      </c>
      <c r="R35" s="12" t="str">
        <f t="shared" si="21"/>
        <v>231654820.6</v>
      </c>
      <c r="S35" s="12" t="str">
        <f t="shared" si="21"/>
        <v>509098921.9</v>
      </c>
    </row>
    <row r="36">
      <c r="A36" s="25" t="s">
        <v>38</v>
      </c>
      <c r="B36" s="26">
        <v>16919.0</v>
      </c>
      <c r="C36" s="26">
        <v>28825.0</v>
      </c>
      <c r="D36" s="26">
        <v>106083.0</v>
      </c>
      <c r="E36" s="26">
        <v>231931.0</v>
      </c>
      <c r="F36" s="26">
        <v>163955.0</v>
      </c>
      <c r="G36" s="26">
        <v>278867.0</v>
      </c>
      <c r="H36" s="34" t="str">
        <f>H17*H37</f>
        <v>420178.3085</v>
      </c>
      <c r="I36" s="6"/>
      <c r="J36" s="12" t="str">
        <f t="shared" ref="J36:S36" si="22">J37*J17</f>
        <v>712307.6602</v>
      </c>
      <c r="K36" s="12" t="str">
        <f t="shared" si="22"/>
        <v>1300330.168</v>
      </c>
      <c r="L36" s="12" t="str">
        <f t="shared" si="22"/>
        <v>2373775.605</v>
      </c>
      <c r="M36" s="12" t="str">
        <f t="shared" si="22"/>
        <v>4333369.143</v>
      </c>
      <c r="N36" s="12" t="str">
        <f t="shared" si="22"/>
        <v>7910641.635</v>
      </c>
      <c r="O36" s="12" t="str">
        <f t="shared" si="22"/>
        <v>14441015.53</v>
      </c>
      <c r="P36" s="12" t="str">
        <f t="shared" si="22"/>
        <v>26362328.01</v>
      </c>
      <c r="Q36" s="12" t="str">
        <f t="shared" si="22"/>
        <v>48124893.76</v>
      </c>
      <c r="R36" s="12" t="str">
        <f t="shared" si="22"/>
        <v>87852840.56</v>
      </c>
      <c r="S36" s="12" t="str">
        <f t="shared" si="22"/>
        <v>160376906.6</v>
      </c>
    </row>
    <row r="37">
      <c r="A37" s="31" t="s">
        <v>32</v>
      </c>
      <c r="B37" s="32">
        <v>0.08</v>
      </c>
      <c r="C37" s="32">
        <v>0.07</v>
      </c>
      <c r="D37" s="32">
        <v>0.05</v>
      </c>
      <c r="E37" s="32">
        <v>0.07</v>
      </c>
      <c r="F37" s="32">
        <v>0.07</v>
      </c>
      <c r="G37" s="32">
        <v>0.1</v>
      </c>
      <c r="H37" s="33">
        <v>0.1</v>
      </c>
      <c r="I37" s="11" t="s">
        <v>39</v>
      </c>
      <c r="J37" s="35" t="str">
        <f>0.94*0.1</f>
        <v>9%</v>
      </c>
      <c r="K37" s="12" t="str">
        <f t="shared" ref="K37:S37" si="23">0.94*J37</f>
        <v>0.08836</v>
      </c>
      <c r="L37" s="12" t="str">
        <f t="shared" si="23"/>
        <v>0.0830584</v>
      </c>
      <c r="M37" s="12" t="str">
        <f t="shared" si="23"/>
        <v>0.078074896</v>
      </c>
      <c r="N37" s="12" t="str">
        <f t="shared" si="23"/>
        <v>0.07339040224</v>
      </c>
      <c r="O37" s="12" t="str">
        <f t="shared" si="23"/>
        <v>0.06898697811</v>
      </c>
      <c r="P37" s="12" t="str">
        <f t="shared" si="23"/>
        <v>0.06484775942</v>
      </c>
      <c r="Q37" s="12" t="str">
        <f t="shared" si="23"/>
        <v>0.06095689385</v>
      </c>
      <c r="R37" s="12" t="str">
        <f t="shared" si="23"/>
        <v>0.05729948022</v>
      </c>
      <c r="S37" s="12" t="str">
        <f t="shared" si="23"/>
        <v>0.05386151141</v>
      </c>
    </row>
    <row r="38">
      <c r="A38" s="38" t="s">
        <v>40</v>
      </c>
      <c r="B38" s="39">
        <v>-251488.0</v>
      </c>
      <c r="C38" s="39">
        <v>-394283.0</v>
      </c>
      <c r="D38" s="39">
        <v>-61283.0</v>
      </c>
      <c r="E38" s="39">
        <v>-186689.0</v>
      </c>
      <c r="F38" s="39">
        <v>-275806.0</v>
      </c>
      <c r="G38" s="39">
        <v>-456296.0</v>
      </c>
      <c r="H38" s="45" t="str">
        <f>H35-H36</f>
        <v>-765,917</v>
      </c>
      <c r="I38" s="6"/>
      <c r="J38" s="12" t="str">
        <f t="shared" ref="J38:S38" si="24">J35-J36</f>
        <v>-1062399.297</v>
      </c>
      <c r="K38" s="12" t="str">
        <f t="shared" si="24"/>
        <v>-1553516.342</v>
      </c>
      <c r="L38" s="12" t="str">
        <f t="shared" si="24"/>
        <v>-2076414.4</v>
      </c>
      <c r="M38" s="12" t="str">
        <f t="shared" si="24"/>
        <v>-2296018.823</v>
      </c>
      <c r="N38" s="12" t="str">
        <f t="shared" si="24"/>
        <v>-1251678.087</v>
      </c>
      <c r="O38" s="12" t="str">
        <f t="shared" si="24"/>
        <v>3495927.094</v>
      </c>
      <c r="P38" s="12" t="str">
        <f t="shared" si="24"/>
        <v>17746571.32</v>
      </c>
      <c r="Q38" s="12" t="str">
        <f t="shared" si="24"/>
        <v>54732550.89</v>
      </c>
      <c r="R38" s="12" t="str">
        <f t="shared" si="24"/>
        <v>143801980</v>
      </c>
      <c r="S38" s="12" t="str">
        <f t="shared" si="24"/>
        <v>348722015.3</v>
      </c>
    </row>
    <row r="39">
      <c r="A39" s="25" t="s">
        <v>41</v>
      </c>
      <c r="B39" s="29">
        <v>255.0</v>
      </c>
      <c r="C39" s="29">
        <v>288.0</v>
      </c>
      <c r="D39" s="29">
        <v>189.0</v>
      </c>
      <c r="E39" s="26">
        <v>1126.0</v>
      </c>
      <c r="F39" s="29">
        <v>907.0</v>
      </c>
      <c r="G39" s="29">
        <v>758.0</v>
      </c>
      <c r="H39" s="37">
        <v>0.0</v>
      </c>
      <c r="I39" s="11" t="s">
        <v>42</v>
      </c>
      <c r="J39" s="6" t="str">
        <f t="shared" ref="J39:S39" si="25">0</f>
        <v>0</v>
      </c>
      <c r="K39" s="6" t="str">
        <f t="shared" si="25"/>
        <v>0</v>
      </c>
      <c r="L39" s="6" t="str">
        <f t="shared" si="25"/>
        <v>0</v>
      </c>
      <c r="M39" s="6" t="str">
        <f t="shared" si="25"/>
        <v>0</v>
      </c>
      <c r="N39" s="6" t="str">
        <f t="shared" si="25"/>
        <v>0</v>
      </c>
      <c r="O39" s="6" t="str">
        <f t="shared" si="25"/>
        <v>0</v>
      </c>
      <c r="P39" s="6" t="str">
        <f t="shared" si="25"/>
        <v>0</v>
      </c>
      <c r="Q39" s="6" t="str">
        <f t="shared" si="25"/>
        <v>0</v>
      </c>
      <c r="R39" s="6" t="str">
        <f t="shared" si="25"/>
        <v>0</v>
      </c>
      <c r="S39" s="6" t="str">
        <f t="shared" si="25"/>
        <v>0</v>
      </c>
    </row>
    <row r="40">
      <c r="A40" s="25" t="s">
        <v>43</v>
      </c>
      <c r="B40" s="29">
        <v>-43.0</v>
      </c>
      <c r="C40" s="29">
        <v>-254.0</v>
      </c>
      <c r="D40" s="26">
        <v>-32934.0</v>
      </c>
      <c r="E40" s="26">
        <v>-100886.0</v>
      </c>
      <c r="F40" s="26">
        <v>-72183.0</v>
      </c>
      <c r="G40" s="26">
        <v>-80234.0</v>
      </c>
      <c r="H40" s="46">
        <v>-90000.0</v>
      </c>
      <c r="I40" s="11" t="s">
        <v>44</v>
      </c>
      <c r="J40" s="6" t="str">
        <f>(-90000)*0.94</f>
        <v>-84600</v>
      </c>
      <c r="K40" s="12" t="str">
        <f t="shared" ref="K40:S40" si="26">J40*0.94</f>
        <v>-79524</v>
      </c>
      <c r="L40" s="12" t="str">
        <f t="shared" si="26"/>
        <v>-74752.56</v>
      </c>
      <c r="M40" s="12" t="str">
        <f t="shared" si="26"/>
        <v>-70267.4064</v>
      </c>
      <c r="N40" s="12" t="str">
        <f t="shared" si="26"/>
        <v>-66051.36202</v>
      </c>
      <c r="O40" s="12" t="str">
        <f t="shared" si="26"/>
        <v>-62088.2803</v>
      </c>
      <c r="P40" s="12" t="str">
        <f t="shared" si="26"/>
        <v>-58362.98348</v>
      </c>
      <c r="Q40" s="12" t="str">
        <f t="shared" si="26"/>
        <v>-54861.20447</v>
      </c>
      <c r="R40" s="12" t="str">
        <f t="shared" si="26"/>
        <v>-51569.5322</v>
      </c>
      <c r="S40" s="12" t="str">
        <f t="shared" si="26"/>
        <v>-48475.36027</v>
      </c>
    </row>
    <row r="41">
      <c r="A41" s="25" t="s">
        <v>45</v>
      </c>
      <c r="B41" s="26">
        <v>-2646.0</v>
      </c>
      <c r="C41" s="26">
        <v>-1828.0</v>
      </c>
      <c r="D41" s="26">
        <v>22602.0</v>
      </c>
      <c r="E41" s="26">
        <v>1813.0</v>
      </c>
      <c r="F41" s="26">
        <v>2401.0</v>
      </c>
      <c r="G41" s="26">
        <v>-24503.0</v>
      </c>
      <c r="H41" s="30">
        <v>0.0</v>
      </c>
      <c r="I41" s="11" t="s">
        <v>42</v>
      </c>
      <c r="J41" s="11">
        <v>0.0</v>
      </c>
      <c r="K41" s="11">
        <v>0.0</v>
      </c>
      <c r="L41" s="11">
        <v>0.0</v>
      </c>
      <c r="M41" s="11">
        <v>0.0</v>
      </c>
      <c r="N41" s="11">
        <v>0.0</v>
      </c>
      <c r="O41" s="11">
        <v>0.0</v>
      </c>
      <c r="P41" s="11">
        <v>0.0</v>
      </c>
      <c r="Q41" s="11">
        <v>0.0</v>
      </c>
      <c r="R41" s="11">
        <v>0.0</v>
      </c>
      <c r="S41" s="11">
        <v>0.0</v>
      </c>
    </row>
    <row r="42">
      <c r="A42" s="24" t="s">
        <v>46</v>
      </c>
      <c r="B42" s="26">
        <v>-253922.0</v>
      </c>
      <c r="C42" s="26">
        <v>-396077.0</v>
      </c>
      <c r="D42" s="26">
        <v>-71426.0</v>
      </c>
      <c r="E42" s="26">
        <v>-284636.0</v>
      </c>
      <c r="F42" s="26">
        <v>-344681.0</v>
      </c>
      <c r="G42" s="26">
        <v>-560275.0</v>
      </c>
      <c r="H42" s="47" t="str">
        <f>H38+H40</f>
        <v>-855,917</v>
      </c>
      <c r="I42" s="6"/>
      <c r="J42" s="12" t="str">
        <f t="shared" ref="J42:S42" si="27">J38+J40</f>
        <v>-1146999.297</v>
      </c>
      <c r="K42" s="12" t="str">
        <f t="shared" si="27"/>
        <v>-1633040.342</v>
      </c>
      <c r="L42" s="12" t="str">
        <f t="shared" si="27"/>
        <v>-2151166.96</v>
      </c>
      <c r="M42" s="12" t="str">
        <f t="shared" si="27"/>
        <v>-2366286.229</v>
      </c>
      <c r="N42" s="12" t="str">
        <f t="shared" si="27"/>
        <v>-1317729.449</v>
      </c>
      <c r="O42" s="12" t="str">
        <f t="shared" si="27"/>
        <v>3433838.814</v>
      </c>
      <c r="P42" s="12" t="str">
        <f t="shared" si="27"/>
        <v>17688208.33</v>
      </c>
      <c r="Q42" s="12" t="str">
        <f t="shared" si="27"/>
        <v>54677689.68</v>
      </c>
      <c r="R42" s="12" t="str">
        <f t="shared" si="27"/>
        <v>143750410.5</v>
      </c>
      <c r="S42" s="12" t="str">
        <f t="shared" si="27"/>
        <v>348673539.9</v>
      </c>
    </row>
    <row r="43">
      <c r="A43" s="25" t="s">
        <v>47</v>
      </c>
      <c r="B43" s="29">
        <v>489.0</v>
      </c>
      <c r="C43" s="29">
        <v>136.0</v>
      </c>
      <c r="D43" s="26">
        <v>2588.0</v>
      </c>
      <c r="E43" s="26">
        <v>9404.0</v>
      </c>
      <c r="F43" s="26">
        <v>5685.0</v>
      </c>
      <c r="G43" s="26">
        <v>7991.0</v>
      </c>
      <c r="H43" s="37">
        <v>0.0</v>
      </c>
      <c r="I43" s="11" t="s">
        <v>48</v>
      </c>
      <c r="J43" s="11">
        <v>0.0</v>
      </c>
      <c r="K43" s="11">
        <v>0.0</v>
      </c>
      <c r="L43" s="11">
        <v>0.0</v>
      </c>
      <c r="M43" s="11">
        <v>0.0</v>
      </c>
      <c r="N43" s="11">
        <v>0.0</v>
      </c>
      <c r="O43" s="11" t="str">
        <f t="shared" ref="O43:S43" si="28">0.35*O42</f>
        <v>1201843.585</v>
      </c>
      <c r="P43" s="11" t="str">
        <f t="shared" si="28"/>
        <v>6190872.917</v>
      </c>
      <c r="Q43" s="11" t="str">
        <f t="shared" si="28"/>
        <v>19137191.39</v>
      </c>
      <c r="R43" s="11" t="str">
        <f t="shared" si="28"/>
        <v>50312643.67</v>
      </c>
      <c r="S43" s="11" t="str">
        <f t="shared" si="28"/>
        <v>122035739</v>
      </c>
    </row>
    <row r="44">
      <c r="A44" s="24" t="s">
        <v>49</v>
      </c>
      <c r="B44" s="26">
        <v>-254411.0</v>
      </c>
      <c r="C44" s="26">
        <v>-396213.0</v>
      </c>
      <c r="D44" s="26">
        <v>-74014.0</v>
      </c>
      <c r="E44" s="26">
        <v>-294040.0</v>
      </c>
      <c r="F44" s="26">
        <v>-350366.0</v>
      </c>
      <c r="G44" s="26">
        <v>-568266.0</v>
      </c>
      <c r="H44" s="47" t="str">
        <f>H42+H43</f>
        <v>-855,917</v>
      </c>
      <c r="I44" s="6"/>
      <c r="J44" s="12" t="str">
        <f t="shared" ref="J44:S44" si="29">J42-J43</f>
        <v>-1146999.297</v>
      </c>
      <c r="K44" s="12" t="str">
        <f t="shared" si="29"/>
        <v>-1633040.342</v>
      </c>
      <c r="L44" s="12" t="str">
        <f t="shared" si="29"/>
        <v>-2151166.96</v>
      </c>
      <c r="M44" s="12" t="str">
        <f t="shared" si="29"/>
        <v>-2366286.229</v>
      </c>
      <c r="N44" s="12" t="str">
        <f t="shared" si="29"/>
        <v>-1317729.449</v>
      </c>
      <c r="O44" s="12" t="str">
        <f t="shared" si="29"/>
        <v>2231995.229</v>
      </c>
      <c r="P44" s="12" t="str">
        <f t="shared" si="29"/>
        <v>11497335.42</v>
      </c>
      <c r="Q44" s="12" t="str">
        <f t="shared" si="29"/>
        <v>35540498.29</v>
      </c>
      <c r="R44" s="12" t="str">
        <f t="shared" si="29"/>
        <v>93437766.81</v>
      </c>
      <c r="S44" s="12" t="str">
        <f t="shared" si="29"/>
        <v>226637800.9</v>
      </c>
    </row>
    <row r="47">
      <c r="I47" s="11" t="s">
        <v>51</v>
      </c>
      <c r="J47" s="12" t="str">
        <f t="shared" ref="J47:S47" si="30">J44+J36</f>
        <v>-434691.6372</v>
      </c>
      <c r="K47" s="12" t="str">
        <f t="shared" si="30"/>
        <v>-332710.1744</v>
      </c>
      <c r="L47" s="12" t="str">
        <f t="shared" si="30"/>
        <v>222608.6447</v>
      </c>
      <c r="M47" s="12" t="str">
        <f t="shared" si="30"/>
        <v>1967082.914</v>
      </c>
      <c r="N47" s="12" t="str">
        <f t="shared" si="30"/>
        <v>6592912.186</v>
      </c>
      <c r="O47" s="12" t="str">
        <f t="shared" si="30"/>
        <v>16673010.76</v>
      </c>
      <c r="P47" s="12" t="str">
        <f t="shared" si="30"/>
        <v>37859663.43</v>
      </c>
      <c r="Q47" s="12" t="str">
        <f t="shared" si="30"/>
        <v>83665392.05</v>
      </c>
      <c r="R47" s="12" t="str">
        <f t="shared" si="30"/>
        <v>181290607.4</v>
      </c>
      <c r="S47" s="12" t="str">
        <f t="shared" si="30"/>
        <v>387014707.6</v>
      </c>
    </row>
    <row r="48">
      <c r="I48" s="11" t="s">
        <v>53</v>
      </c>
      <c r="J48" s="11" t="str">
        <f t="shared" ref="J48:S48" si="31">J36</f>
        <v>712307.6602</v>
      </c>
      <c r="K48" s="11" t="str">
        <f t="shared" si="31"/>
        <v>1300330.168</v>
      </c>
      <c r="L48" s="11" t="str">
        <f t="shared" si="31"/>
        <v>2373775.605</v>
      </c>
      <c r="M48" s="11" t="str">
        <f t="shared" si="31"/>
        <v>4333369.143</v>
      </c>
      <c r="N48" s="11" t="str">
        <f t="shared" si="31"/>
        <v>7910641.635</v>
      </c>
      <c r="O48" s="11" t="str">
        <f t="shared" si="31"/>
        <v>14441015.53</v>
      </c>
      <c r="P48" s="11" t="str">
        <f t="shared" si="31"/>
        <v>26362328.01</v>
      </c>
      <c r="Q48" s="11" t="str">
        <f t="shared" si="31"/>
        <v>48124893.76</v>
      </c>
      <c r="R48" s="11" t="str">
        <f t="shared" si="31"/>
        <v>87852840.56</v>
      </c>
      <c r="S48" s="11" t="str">
        <f t="shared" si="31"/>
        <v>160376906.6</v>
      </c>
    </row>
    <row r="49">
      <c r="I49" s="11" t="s">
        <v>55</v>
      </c>
      <c r="J49" s="6" t="str">
        <f t="shared" ref="J49:S49" si="32">0</f>
        <v>0</v>
      </c>
      <c r="K49" s="6" t="str">
        <f t="shared" si="32"/>
        <v>0</v>
      </c>
      <c r="L49" s="6" t="str">
        <f t="shared" si="32"/>
        <v>0</v>
      </c>
      <c r="M49" s="6" t="str">
        <f t="shared" si="32"/>
        <v>0</v>
      </c>
      <c r="N49" s="6" t="str">
        <f t="shared" si="32"/>
        <v>0</v>
      </c>
      <c r="O49" s="6" t="str">
        <f t="shared" si="32"/>
        <v>0</v>
      </c>
      <c r="P49" s="6" t="str">
        <f t="shared" si="32"/>
        <v>0</v>
      </c>
      <c r="Q49" s="6" t="str">
        <f t="shared" si="32"/>
        <v>0</v>
      </c>
      <c r="R49" s="6" t="str">
        <f t="shared" si="32"/>
        <v>0</v>
      </c>
      <c r="S49" s="6" t="str">
        <f t="shared" si="32"/>
        <v>0</v>
      </c>
    </row>
    <row r="50">
      <c r="I50" s="11" t="s">
        <v>57</v>
      </c>
      <c r="J50" s="12" t="str">
        <f t="shared" ref="J50:S50" si="33">J47-J48-J49</f>
        <v>-1146999.297</v>
      </c>
      <c r="K50" s="12" t="str">
        <f t="shared" si="33"/>
        <v>-1633040.342</v>
      </c>
      <c r="L50" s="12" t="str">
        <f t="shared" si="33"/>
        <v>-2151166.96</v>
      </c>
      <c r="M50" s="12" t="str">
        <f t="shared" si="33"/>
        <v>-2366286.229</v>
      </c>
      <c r="N50" s="12" t="str">
        <f t="shared" si="33"/>
        <v>-1317729.449</v>
      </c>
      <c r="O50" s="12" t="str">
        <f t="shared" si="33"/>
        <v>2231995.229</v>
      </c>
      <c r="P50" s="12" t="str">
        <f t="shared" si="33"/>
        <v>11497335.42</v>
      </c>
      <c r="Q50" s="12" t="str">
        <f t="shared" si="33"/>
        <v>35540498.29</v>
      </c>
      <c r="R50" s="12" t="str">
        <f t="shared" si="33"/>
        <v>93437766.81</v>
      </c>
      <c r="S50" s="12" t="str">
        <f t="shared" si="33"/>
        <v>226637800.9</v>
      </c>
    </row>
    <row r="51">
      <c r="I51" s="11" t="s">
        <v>59</v>
      </c>
      <c r="J51" s="12" t="str">
        <f t="shared" ref="J51:S51" si="34">(J52*J54)+((J53*J59)*J58)</f>
        <v>0.07839802198</v>
      </c>
      <c r="K51" s="12" t="str">
        <f t="shared" si="34"/>
        <v>0.07839802198</v>
      </c>
      <c r="L51" s="12" t="str">
        <f t="shared" si="34"/>
        <v>0.07839802198</v>
      </c>
      <c r="M51" s="12" t="str">
        <f t="shared" si="34"/>
        <v>0.07839802198</v>
      </c>
      <c r="N51" s="12" t="str">
        <f t="shared" si="34"/>
        <v>0.07839802198</v>
      </c>
      <c r="O51" s="12" t="str">
        <f t="shared" si="34"/>
        <v>0.07070571429</v>
      </c>
      <c r="P51" s="12" t="str">
        <f t="shared" si="34"/>
        <v>0.07070571429</v>
      </c>
      <c r="Q51" s="12" t="str">
        <f t="shared" si="34"/>
        <v>0.07070571429</v>
      </c>
      <c r="R51" s="12" t="str">
        <f t="shared" si="34"/>
        <v>0.07070571429</v>
      </c>
      <c r="S51" s="12" t="str">
        <f t="shared" si="34"/>
        <v>0.07070571429</v>
      </c>
    </row>
    <row r="52">
      <c r="I52" s="11" t="s">
        <v>61</v>
      </c>
      <c r="J52" s="6" t="str">
        <f t="shared" ref="J52:S52" si="35">0.91</f>
        <v>0.91</v>
      </c>
      <c r="K52" s="6" t="str">
        <f t="shared" si="35"/>
        <v>0.91</v>
      </c>
      <c r="L52" s="6" t="str">
        <f t="shared" si="35"/>
        <v>0.91</v>
      </c>
      <c r="M52" s="6" t="str">
        <f t="shared" si="35"/>
        <v>0.91</v>
      </c>
      <c r="N52" s="6" t="str">
        <f t="shared" si="35"/>
        <v>0.91</v>
      </c>
      <c r="O52" s="6" t="str">
        <f t="shared" si="35"/>
        <v>0.91</v>
      </c>
      <c r="P52" s="6" t="str">
        <f t="shared" si="35"/>
        <v>0.91</v>
      </c>
      <c r="Q52" s="6" t="str">
        <f t="shared" si="35"/>
        <v>0.91</v>
      </c>
      <c r="R52" s="6" t="str">
        <f t="shared" si="35"/>
        <v>0.91</v>
      </c>
      <c r="S52" s="6" t="str">
        <f t="shared" si="35"/>
        <v>0.91</v>
      </c>
    </row>
    <row r="53">
      <c r="I53" s="11" t="s">
        <v>63</v>
      </c>
      <c r="J53" s="12" t="str">
        <f t="shared" ref="J53:S53" si="36">1/J52</f>
        <v>1.098901099</v>
      </c>
      <c r="K53" s="12" t="str">
        <f t="shared" si="36"/>
        <v>1.098901099</v>
      </c>
      <c r="L53" s="12" t="str">
        <f t="shared" si="36"/>
        <v>1.098901099</v>
      </c>
      <c r="M53" s="12" t="str">
        <f t="shared" si="36"/>
        <v>1.098901099</v>
      </c>
      <c r="N53" s="12" t="str">
        <f t="shared" si="36"/>
        <v>1.098901099</v>
      </c>
      <c r="O53" s="12" t="str">
        <f t="shared" si="36"/>
        <v>1.098901099</v>
      </c>
      <c r="P53" s="12" t="str">
        <f t="shared" si="36"/>
        <v>1.098901099</v>
      </c>
      <c r="Q53" s="12" t="str">
        <f t="shared" si="36"/>
        <v>1.098901099</v>
      </c>
      <c r="R53" s="12" t="str">
        <f t="shared" si="36"/>
        <v>1.098901099</v>
      </c>
      <c r="S53" s="12" t="str">
        <f t="shared" si="36"/>
        <v>1.098901099</v>
      </c>
    </row>
    <row r="54">
      <c r="I54" s="11" t="s">
        <v>65</v>
      </c>
      <c r="J54" s="51" t="str">
        <f t="shared" ref="J54:S54" si="37">J55+(J56*J57)</f>
        <v>6%</v>
      </c>
      <c r="K54" s="51" t="str">
        <f t="shared" si="37"/>
        <v>6%</v>
      </c>
      <c r="L54" s="51" t="str">
        <f t="shared" si="37"/>
        <v>6%</v>
      </c>
      <c r="M54" s="51" t="str">
        <f t="shared" si="37"/>
        <v>6%</v>
      </c>
      <c r="N54" s="51" t="str">
        <f t="shared" si="37"/>
        <v>6%</v>
      </c>
      <c r="O54" s="51" t="str">
        <f t="shared" si="37"/>
        <v>6%</v>
      </c>
      <c r="P54" s="51" t="str">
        <f t="shared" si="37"/>
        <v>6%</v>
      </c>
      <c r="Q54" s="51" t="str">
        <f t="shared" si="37"/>
        <v>6%</v>
      </c>
      <c r="R54" s="51" t="str">
        <f t="shared" si="37"/>
        <v>6%</v>
      </c>
      <c r="S54" s="51" t="str">
        <f t="shared" si="37"/>
        <v>6%</v>
      </c>
    </row>
    <row r="55">
      <c r="I55" s="11" t="s">
        <v>67</v>
      </c>
      <c r="J55" s="35">
        <v>0.02</v>
      </c>
      <c r="K55" s="35">
        <v>0.02</v>
      </c>
      <c r="L55" s="35">
        <v>0.02</v>
      </c>
      <c r="M55" s="35">
        <v>0.02</v>
      </c>
      <c r="N55" s="35">
        <v>0.02</v>
      </c>
      <c r="O55" s="35">
        <v>0.02</v>
      </c>
      <c r="P55" s="35">
        <v>0.02</v>
      </c>
      <c r="Q55" s="35">
        <v>0.02</v>
      </c>
      <c r="R55" s="35">
        <v>0.02</v>
      </c>
      <c r="S55" s="35">
        <v>0.02</v>
      </c>
    </row>
    <row r="56">
      <c r="I56" s="11" t="s">
        <v>68</v>
      </c>
      <c r="J56" s="11">
        <v>0.6</v>
      </c>
      <c r="K56" s="11">
        <v>0.6</v>
      </c>
      <c r="L56" s="11">
        <v>0.6</v>
      </c>
      <c r="M56" s="11">
        <v>0.6</v>
      </c>
      <c r="N56" s="11">
        <v>0.6</v>
      </c>
      <c r="O56" s="11">
        <v>0.6</v>
      </c>
      <c r="P56" s="11">
        <v>0.6</v>
      </c>
      <c r="Q56" s="11">
        <v>0.6</v>
      </c>
      <c r="R56" s="11">
        <v>0.6</v>
      </c>
      <c r="S56" s="11">
        <v>0.6</v>
      </c>
    </row>
    <row r="57">
      <c r="I57" s="11" t="s">
        <v>70</v>
      </c>
      <c r="J57" s="35">
        <v>0.07</v>
      </c>
      <c r="K57" s="35">
        <v>0.07</v>
      </c>
      <c r="L57" s="35">
        <v>0.07</v>
      </c>
      <c r="M57" s="35">
        <v>0.07</v>
      </c>
      <c r="N57" s="35">
        <v>0.07</v>
      </c>
      <c r="O57" s="35">
        <v>0.07</v>
      </c>
      <c r="P57" s="35">
        <v>0.07</v>
      </c>
      <c r="Q57" s="35">
        <v>0.07</v>
      </c>
      <c r="R57" s="35">
        <v>0.07</v>
      </c>
      <c r="S57" s="35">
        <v>0.07</v>
      </c>
    </row>
    <row r="58">
      <c r="I58" s="11" t="s">
        <v>71</v>
      </c>
      <c r="J58" s="11">
        <v>1.0</v>
      </c>
      <c r="K58" s="11">
        <v>1.0</v>
      </c>
      <c r="L58" s="11">
        <v>1.0</v>
      </c>
      <c r="M58" s="11">
        <v>1.0</v>
      </c>
      <c r="N58" s="11">
        <v>1.0</v>
      </c>
      <c r="O58" s="11">
        <v>0.65</v>
      </c>
      <c r="P58" s="52">
        <v>0.65</v>
      </c>
      <c r="Q58" s="52">
        <v>0.65</v>
      </c>
      <c r="R58" s="52">
        <v>0.65</v>
      </c>
      <c r="S58" s="52">
        <v>0.65</v>
      </c>
    </row>
    <row r="59">
      <c r="I59" s="11" t="s">
        <v>73</v>
      </c>
      <c r="J59" s="35">
        <v>0.02</v>
      </c>
      <c r="K59" s="35">
        <v>0.02</v>
      </c>
      <c r="L59" s="35">
        <v>0.02</v>
      </c>
      <c r="M59" s="35">
        <v>0.02</v>
      </c>
      <c r="N59" s="35">
        <v>0.02</v>
      </c>
      <c r="O59" s="35">
        <v>0.02</v>
      </c>
      <c r="P59" s="35">
        <v>0.02</v>
      </c>
      <c r="Q59" s="35">
        <v>0.02</v>
      </c>
      <c r="R59" s="35">
        <v>0.02</v>
      </c>
      <c r="S59" s="35">
        <v>0.02</v>
      </c>
    </row>
    <row r="60">
      <c r="I60" s="11"/>
      <c r="J60" s="6"/>
      <c r="K60" s="6"/>
      <c r="L60" s="6"/>
    </row>
    <row r="61">
      <c r="I61" s="11" t="s">
        <v>75</v>
      </c>
      <c r="J61" s="12" t="str">
        <f t="shared" ref="J61:R61" si="38">(J50)/(1+J51)</f>
        <v>-1063614.059</v>
      </c>
      <c r="K61" s="12" t="str">
        <f t="shared" si="38"/>
        <v>-1514320.602</v>
      </c>
      <c r="L61" s="12" t="str">
        <f t="shared" si="38"/>
        <v>-1994780.143</v>
      </c>
      <c r="M61" s="12" t="str">
        <f t="shared" si="38"/>
        <v>-2194260.543</v>
      </c>
      <c r="N61" s="12" t="str">
        <f t="shared" si="38"/>
        <v>-1221932.368</v>
      </c>
      <c r="O61" s="12" t="str">
        <f t="shared" si="38"/>
        <v>2084601.959</v>
      </c>
      <c r="P61" s="12" t="str">
        <f t="shared" si="38"/>
        <v>10738091.02</v>
      </c>
      <c r="Q61" s="12" t="str">
        <f t="shared" si="38"/>
        <v>33193526.31</v>
      </c>
      <c r="R61" s="12" t="str">
        <f t="shared" si="38"/>
        <v>87267458.8</v>
      </c>
      <c r="S61" s="12" t="str">
        <f>11.3*S44</f>
        <v>2561007151</v>
      </c>
    </row>
    <row r="62">
      <c r="I62" s="6"/>
      <c r="J62" s="6"/>
      <c r="K62" s="6"/>
      <c r="L62" s="6"/>
    </row>
    <row r="63">
      <c r="I63" s="54" t="s">
        <v>78</v>
      </c>
      <c r="J63" s="55" t="str">
        <f>sum(J61:S61)*1000</f>
        <v>2686301921044</v>
      </c>
      <c r="K63" s="11" t="s">
        <v>79</v>
      </c>
      <c r="L63" s="6"/>
    </row>
    <row r="64">
      <c r="I64" s="54" t="s">
        <v>81</v>
      </c>
      <c r="J64" s="55" t="str">
        <f>0.4*J63</f>
        <v>1074520768417</v>
      </c>
      <c r="K64" s="6"/>
      <c r="L64" s="6"/>
    </row>
    <row r="65">
      <c r="I65" s="54" t="s">
        <v>83</v>
      </c>
      <c r="J65" s="55" t="str">
        <f>J63-J64</f>
        <v>1611781152626</v>
      </c>
      <c r="K65" s="6"/>
      <c r="L65" s="6"/>
    </row>
    <row r="66">
      <c r="I66" s="54" t="s">
        <v>85</v>
      </c>
      <c r="J66" s="56">
        <v>1.3E8</v>
      </c>
      <c r="K66" s="6"/>
      <c r="L66" s="6"/>
    </row>
    <row r="67">
      <c r="I67" s="58" t="s">
        <v>88</v>
      </c>
      <c r="J67" s="59" t="str">
        <f>J65/J66</f>
        <v>12398.31656</v>
      </c>
      <c r="K67" s="6"/>
      <c r="L67" s="6"/>
    </row>
  </sheetData>
  <mergeCells count="1">
    <mergeCell ref="F1:G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/>
      <c r="C1" s="2"/>
      <c r="D1" s="2"/>
      <c r="E1" s="2"/>
      <c r="F1" s="3" t="s">
        <v>1</v>
      </c>
      <c r="G1" s="4"/>
      <c r="H1" s="5"/>
    </row>
    <row r="2">
      <c r="A2" s="7" t="s">
        <v>2</v>
      </c>
      <c r="B2" s="1" t="s">
        <v>3</v>
      </c>
      <c r="C2" s="2"/>
      <c r="D2" s="2"/>
      <c r="E2" s="2"/>
      <c r="F2" s="8">
        <v>42277.0</v>
      </c>
      <c r="G2" s="8">
        <v>42277.0</v>
      </c>
      <c r="H2" s="5"/>
    </row>
    <row r="3">
      <c r="A3" s="2"/>
      <c r="B3" s="9">
        <v>2011.0</v>
      </c>
      <c r="C3" s="9">
        <v>2012.0</v>
      </c>
      <c r="D3" s="9">
        <v>2013.0</v>
      </c>
      <c r="E3" s="9">
        <v>2014.0</v>
      </c>
      <c r="F3" s="9">
        <v>2014.0</v>
      </c>
      <c r="G3" s="9">
        <v>2015.0</v>
      </c>
      <c r="H3" s="10">
        <v>2015.0</v>
      </c>
      <c r="I3" s="11" t="s">
        <v>4</v>
      </c>
      <c r="J3" s="11">
        <v>2016.0</v>
      </c>
      <c r="K3" s="12" t="str">
        <f t="shared" ref="K3:S3" si="1">J3+1</f>
        <v>2017</v>
      </c>
      <c r="L3" s="12" t="str">
        <f t="shared" si="1"/>
        <v>2018</v>
      </c>
      <c r="M3" s="12" t="str">
        <f t="shared" si="1"/>
        <v>2019</v>
      </c>
      <c r="N3" s="12" t="str">
        <f t="shared" si="1"/>
        <v>2020</v>
      </c>
      <c r="O3" s="12" t="str">
        <f t="shared" si="1"/>
        <v>2021</v>
      </c>
      <c r="P3" s="12" t="str">
        <f t="shared" si="1"/>
        <v>2022</v>
      </c>
      <c r="Q3" s="12" t="str">
        <f t="shared" si="1"/>
        <v>2023</v>
      </c>
      <c r="R3" s="12" t="str">
        <f t="shared" si="1"/>
        <v>2024</v>
      </c>
      <c r="S3" s="12" t="str">
        <f t="shared" si="1"/>
        <v>2025</v>
      </c>
    </row>
    <row r="4">
      <c r="A4" s="1" t="s">
        <v>5</v>
      </c>
      <c r="B4" s="2"/>
      <c r="C4" s="2"/>
      <c r="D4" s="2"/>
      <c r="E4" s="2"/>
      <c r="F4" s="2"/>
      <c r="G4" s="2"/>
      <c r="H4" s="5"/>
    </row>
    <row r="5">
      <c r="A5" s="13" t="s">
        <v>6</v>
      </c>
      <c r="B5" s="14"/>
      <c r="C5" s="15">
        <v>2650.0</v>
      </c>
      <c r="D5" s="15">
        <v>22447.0</v>
      </c>
      <c r="E5" s="15">
        <v>31655.0</v>
      </c>
      <c r="F5" s="15">
        <v>24127.0</v>
      </c>
      <c r="G5" s="15">
        <v>34634.0</v>
      </c>
      <c r="H5" s="15">
        <v>50000.0</v>
      </c>
      <c r="J5" t="str">
        <f>0.9135*50000</f>
        <v>45675</v>
      </c>
      <c r="K5" t="str">
        <f t="shared" ref="K5:S5" si="2">0.9135*J5</f>
        <v>41724.1125</v>
      </c>
      <c r="L5" t="str">
        <f t="shared" si="2"/>
        <v>38114.97677</v>
      </c>
      <c r="M5" t="str">
        <f t="shared" si="2"/>
        <v>34818.03128</v>
      </c>
      <c r="N5" t="str">
        <f t="shared" si="2"/>
        <v>31806.27157</v>
      </c>
      <c r="O5" t="str">
        <f t="shared" si="2"/>
        <v>29055.02908</v>
      </c>
      <c r="P5" t="str">
        <f t="shared" si="2"/>
        <v>26541.76907</v>
      </c>
      <c r="Q5" t="str">
        <f t="shared" si="2"/>
        <v>24245.90604</v>
      </c>
      <c r="R5" t="str">
        <f t="shared" si="2"/>
        <v>22148.63517</v>
      </c>
      <c r="S5" t="str">
        <f t="shared" si="2"/>
        <v>20232.77823</v>
      </c>
    </row>
    <row r="6">
      <c r="A6" s="17" t="s">
        <v>8</v>
      </c>
      <c r="B6" s="14"/>
      <c r="C6" s="18"/>
      <c r="D6" s="19">
        <v>7.47</v>
      </c>
      <c r="E6" s="19">
        <v>0.41</v>
      </c>
      <c r="F6" s="20"/>
      <c r="G6" s="19">
        <v>0.44</v>
      </c>
      <c r="H6" s="21"/>
    </row>
    <row r="7">
      <c r="A7" s="17" t="s">
        <v>9</v>
      </c>
      <c r="B7" s="14"/>
      <c r="C7" s="22">
        <v>118.0</v>
      </c>
      <c r="D7" s="22">
        <v>78.0</v>
      </c>
      <c r="E7" s="22">
        <v>90.0</v>
      </c>
      <c r="F7" s="22">
        <v>93.0</v>
      </c>
      <c r="G7" s="22">
        <v>76.0</v>
      </c>
      <c r="H7" s="23" t="str">
        <f>H9/H5</f>
        <v>75.766</v>
      </c>
      <c r="I7" s="52" t="s">
        <v>107</v>
      </c>
      <c r="J7" t="str">
        <f>0.985*75.766</f>
        <v>74.62951</v>
      </c>
      <c r="K7" t="str">
        <f t="shared" ref="K7:S7" si="3">0.985*J7</f>
        <v>73.51006735</v>
      </c>
      <c r="L7" t="str">
        <f t="shared" si="3"/>
        <v>72.40741634</v>
      </c>
      <c r="M7" t="str">
        <f t="shared" si="3"/>
        <v>71.32130509</v>
      </c>
      <c r="N7" t="str">
        <f t="shared" si="3"/>
        <v>70.25148552</v>
      </c>
      <c r="O7" t="str">
        <f t="shared" si="3"/>
        <v>69.19771324</v>
      </c>
      <c r="P7" t="str">
        <f t="shared" si="3"/>
        <v>68.15974754</v>
      </c>
      <c r="Q7" t="str">
        <f t="shared" si="3"/>
        <v>67.13735132</v>
      </c>
      <c r="R7" t="str">
        <f t="shared" si="3"/>
        <v>66.13029105</v>
      </c>
      <c r="S7" t="str">
        <f t="shared" si="3"/>
        <v>65.13833669</v>
      </c>
    </row>
    <row r="8">
      <c r="A8" s="24" t="s">
        <v>5</v>
      </c>
      <c r="B8" s="14"/>
      <c r="C8" s="18"/>
      <c r="D8" s="18"/>
      <c r="E8" s="20"/>
      <c r="F8" s="18"/>
      <c r="G8" s="18"/>
      <c r="H8" s="21"/>
    </row>
    <row r="9">
      <c r="A9" s="25" t="s">
        <v>11</v>
      </c>
      <c r="B9" s="26">
        <v>148568.0</v>
      </c>
      <c r="C9" s="26">
        <v>385699.0</v>
      </c>
      <c r="D9" s="26">
        <v>1997786.0</v>
      </c>
      <c r="E9" s="27">
        <v>3192723.0</v>
      </c>
      <c r="F9" s="26">
        <v>2236062.0</v>
      </c>
      <c r="G9" s="26">
        <v>2623965.0</v>
      </c>
      <c r="H9" s="26">
        <v>3788300.0</v>
      </c>
      <c r="I9" s="16"/>
      <c r="J9" s="12" t="str">
        <f t="shared" ref="J9:S9" si="4">J5*J7</f>
        <v>3408702.869</v>
      </c>
      <c r="K9" s="12" t="str">
        <f t="shared" si="4"/>
        <v>3067142.32</v>
      </c>
      <c r="L9" s="12" t="str">
        <f t="shared" si="4"/>
        <v>2759806.992</v>
      </c>
      <c r="M9" s="12" t="str">
        <f t="shared" si="4"/>
        <v>2483267.432</v>
      </c>
      <c r="N9" s="12" t="str">
        <f t="shared" si="4"/>
        <v>2234437.827</v>
      </c>
      <c r="O9" s="12" t="str">
        <f t="shared" si="4"/>
        <v>2010541.57</v>
      </c>
      <c r="P9" s="12" t="str">
        <f t="shared" si="4"/>
        <v>1809080.279</v>
      </c>
      <c r="Q9" s="12" t="str">
        <f t="shared" si="4"/>
        <v>1627805.912</v>
      </c>
      <c r="R9" s="12" t="str">
        <f t="shared" si="4"/>
        <v>1464695.69</v>
      </c>
      <c r="S9" s="12" t="str">
        <f t="shared" si="4"/>
        <v>1317929.52</v>
      </c>
    </row>
    <row r="10">
      <c r="A10" s="25" t="s">
        <v>12</v>
      </c>
      <c r="B10" s="26">
        <v>99008.0</v>
      </c>
      <c r="C10" s="26">
        <v>313844.0</v>
      </c>
      <c r="D10" s="26">
        <v>1758284.0</v>
      </c>
      <c r="E10" s="26">
        <v>2863115.0</v>
      </c>
      <c r="F10" s="26">
        <v>1906454.0</v>
      </c>
      <c r="G10" s="14"/>
      <c r="H10" s="28" t="str">
        <f>H9</f>
        <v>3,788,300</v>
      </c>
      <c r="I10" s="6"/>
      <c r="J10" s="6" t="str">
        <f t="shared" ref="J10:S10" si="5">0</f>
        <v>0</v>
      </c>
      <c r="K10" s="6" t="str">
        <f t="shared" si="5"/>
        <v>0</v>
      </c>
      <c r="L10" s="6" t="str">
        <f t="shared" si="5"/>
        <v>0</v>
      </c>
      <c r="M10" s="6" t="str">
        <f t="shared" si="5"/>
        <v>0</v>
      </c>
      <c r="N10" s="6" t="str">
        <f t="shared" si="5"/>
        <v>0</v>
      </c>
      <c r="O10" s="6" t="str">
        <f t="shared" si="5"/>
        <v>0</v>
      </c>
      <c r="P10" s="6" t="str">
        <f t="shared" si="5"/>
        <v>0</v>
      </c>
      <c r="Q10" s="6" t="str">
        <f t="shared" si="5"/>
        <v>0</v>
      </c>
      <c r="R10" s="6" t="str">
        <f t="shared" si="5"/>
        <v>0</v>
      </c>
      <c r="S10" s="6" t="str">
        <f t="shared" si="5"/>
        <v>0</v>
      </c>
    </row>
    <row r="11">
      <c r="A11" s="25" t="s">
        <v>13</v>
      </c>
      <c r="B11" s="26">
        <v>2700.0</v>
      </c>
      <c r="C11" s="26">
        <v>40500.0</v>
      </c>
      <c r="D11" s="26">
        <v>194400.0</v>
      </c>
      <c r="E11" s="26">
        <v>216300.0</v>
      </c>
      <c r="F11" s="26">
        <v>216300.0</v>
      </c>
      <c r="G11" s="29">
        <v>0.0</v>
      </c>
      <c r="H11" s="30">
        <v>0.0</v>
      </c>
      <c r="I11" s="6"/>
      <c r="J11" s="6" t="str">
        <f t="shared" ref="J11:J12" si="7">0</f>
        <v>0</v>
      </c>
      <c r="K11" s="6" t="str">
        <f t="shared" ref="K11:S11" si="6">J11</f>
        <v>0</v>
      </c>
      <c r="L11" s="12" t="str">
        <f t="shared" si="6"/>
        <v>0</v>
      </c>
      <c r="M11" s="12" t="str">
        <f t="shared" si="6"/>
        <v>0</v>
      </c>
      <c r="N11" s="12" t="str">
        <f t="shared" si="6"/>
        <v>0</v>
      </c>
      <c r="O11" s="12" t="str">
        <f t="shared" si="6"/>
        <v>0</v>
      </c>
      <c r="P11" s="12" t="str">
        <f t="shared" si="6"/>
        <v>0</v>
      </c>
      <c r="Q11" s="12" t="str">
        <f t="shared" si="6"/>
        <v>0</v>
      </c>
      <c r="R11" s="12" t="str">
        <f t="shared" si="6"/>
        <v>0</v>
      </c>
      <c r="S11" s="12" t="str">
        <f t="shared" si="6"/>
        <v>0</v>
      </c>
    </row>
    <row r="12">
      <c r="A12" s="31" t="s">
        <v>14</v>
      </c>
      <c r="B12" s="32">
        <v>0.02</v>
      </c>
      <c r="C12" s="32">
        <v>0.11</v>
      </c>
      <c r="D12" s="32">
        <v>0.1</v>
      </c>
      <c r="E12" s="32">
        <v>0.07</v>
      </c>
      <c r="F12" s="32">
        <v>0.1</v>
      </c>
      <c r="G12" s="32">
        <v>0.0</v>
      </c>
      <c r="H12" s="33">
        <v>0.0</v>
      </c>
      <c r="I12" s="6"/>
      <c r="J12" s="6" t="str">
        <f t="shared" si="7"/>
        <v>0</v>
      </c>
      <c r="K12" s="6" t="str">
        <f t="shared" ref="K12:S12" si="8">0</f>
        <v>0</v>
      </c>
      <c r="L12" s="6" t="str">
        <f t="shared" si="8"/>
        <v>0</v>
      </c>
      <c r="M12" s="6" t="str">
        <f t="shared" si="8"/>
        <v>0</v>
      </c>
      <c r="N12" s="6" t="str">
        <f t="shared" si="8"/>
        <v>0</v>
      </c>
      <c r="O12" s="6" t="str">
        <f t="shared" si="8"/>
        <v>0</v>
      </c>
      <c r="P12" s="6" t="str">
        <f t="shared" si="8"/>
        <v>0</v>
      </c>
      <c r="Q12" s="6" t="str">
        <f t="shared" si="8"/>
        <v>0</v>
      </c>
      <c r="R12" s="6" t="str">
        <f t="shared" si="8"/>
        <v>0</v>
      </c>
      <c r="S12" s="6" t="str">
        <f t="shared" si="8"/>
        <v>0</v>
      </c>
    </row>
    <row r="13">
      <c r="A13" s="25" t="s">
        <v>15</v>
      </c>
      <c r="B13" s="26">
        <v>46860.0</v>
      </c>
      <c r="C13" s="26">
        <v>31355.0</v>
      </c>
      <c r="D13" s="26">
        <v>45102.0</v>
      </c>
      <c r="E13" s="26">
        <v>113308.0</v>
      </c>
      <c r="F13" s="26">
        <v>113308.0</v>
      </c>
      <c r="G13" s="29">
        <v>0.0</v>
      </c>
      <c r="H13" s="34" t="str">
        <f>H9*H14</f>
        <v>113649</v>
      </c>
      <c r="I13" s="6"/>
      <c r="J13" s="12" t="str">
        <f t="shared" ref="J13:S13" si="9">J9*J14</f>
        <v>102261.0861</v>
      </c>
      <c r="K13" s="12" t="str">
        <f t="shared" si="9"/>
        <v>92014.2696</v>
      </c>
      <c r="L13" s="12" t="str">
        <f t="shared" si="9"/>
        <v>82794.20975</v>
      </c>
      <c r="M13" s="12" t="str">
        <f t="shared" si="9"/>
        <v>74498.02295</v>
      </c>
      <c r="N13" s="12" t="str">
        <f t="shared" si="9"/>
        <v>67033.1348</v>
      </c>
      <c r="O13" s="12" t="str">
        <f t="shared" si="9"/>
        <v>60316.24711</v>
      </c>
      <c r="P13" s="12" t="str">
        <f t="shared" si="9"/>
        <v>54272.40836</v>
      </c>
      <c r="Q13" s="12" t="str">
        <f t="shared" si="9"/>
        <v>48834.17736</v>
      </c>
      <c r="R13" s="12" t="str">
        <f t="shared" si="9"/>
        <v>43940.87071</v>
      </c>
      <c r="S13" s="12" t="str">
        <f t="shared" si="9"/>
        <v>39537.88561</v>
      </c>
    </row>
    <row r="14">
      <c r="A14" s="31" t="s">
        <v>14</v>
      </c>
      <c r="B14" s="32">
        <v>0.32</v>
      </c>
      <c r="C14" s="32">
        <v>0.08</v>
      </c>
      <c r="D14" s="32">
        <v>0.02</v>
      </c>
      <c r="E14" s="32">
        <v>0.04</v>
      </c>
      <c r="F14" s="32">
        <v>0.05</v>
      </c>
      <c r="G14" s="32">
        <v>0.0</v>
      </c>
      <c r="H14" s="33">
        <v>0.03</v>
      </c>
      <c r="I14" s="11" t="s">
        <v>16</v>
      </c>
      <c r="J14" s="35">
        <v>0.03</v>
      </c>
      <c r="K14" s="35">
        <v>0.03</v>
      </c>
      <c r="L14" s="35">
        <v>0.03</v>
      </c>
      <c r="M14" s="35">
        <v>0.03</v>
      </c>
      <c r="N14" s="35">
        <v>0.03</v>
      </c>
      <c r="O14" s="35">
        <v>0.03</v>
      </c>
      <c r="P14" s="35">
        <v>0.03</v>
      </c>
      <c r="Q14" s="35">
        <v>0.03</v>
      </c>
      <c r="R14" s="35">
        <v>0.03</v>
      </c>
      <c r="S14" s="35">
        <v>0.03</v>
      </c>
    </row>
    <row r="15">
      <c r="A15" s="25" t="s">
        <v>17</v>
      </c>
      <c r="B15" s="26">
        <v>55674.0</v>
      </c>
      <c r="C15" s="26">
        <v>27557.0</v>
      </c>
      <c r="D15" s="26">
        <v>15710.0</v>
      </c>
      <c r="E15" s="26">
        <v>5633.0</v>
      </c>
      <c r="F15" s="26">
        <v>5633.0</v>
      </c>
      <c r="G15" s="29">
        <v>0.0</v>
      </c>
      <c r="H15" s="30">
        <v>0.0</v>
      </c>
      <c r="I15" s="11" t="s">
        <v>18</v>
      </c>
      <c r="J15" s="11">
        <v>0.0</v>
      </c>
      <c r="K15" s="11">
        <v>0.0</v>
      </c>
      <c r="L15" s="11">
        <v>0.0</v>
      </c>
      <c r="M15" s="11">
        <v>0.0</v>
      </c>
      <c r="N15" s="11">
        <v>0.0</v>
      </c>
      <c r="O15" s="11">
        <v>0.0</v>
      </c>
      <c r="P15" s="11">
        <v>0.0</v>
      </c>
      <c r="Q15" s="11">
        <v>0.0</v>
      </c>
      <c r="R15" s="11">
        <v>0.0</v>
      </c>
      <c r="S15" s="11">
        <v>0.0</v>
      </c>
    </row>
    <row r="16">
      <c r="A16" s="25" t="s">
        <v>19</v>
      </c>
      <c r="B16" s="14"/>
      <c r="C16" s="14"/>
      <c r="D16" s="14"/>
      <c r="E16" s="14"/>
      <c r="F16" s="14"/>
      <c r="G16" s="26">
        <v>207680.0</v>
      </c>
      <c r="H16" s="23" t="str">
        <f>(G16/G9)*H9</f>
        <v>299834.0847</v>
      </c>
      <c r="I16" s="11" t="s">
        <v>20</v>
      </c>
      <c r="J16" s="11">
        <v>0.0</v>
      </c>
      <c r="K16" s="11">
        <v>0.0</v>
      </c>
      <c r="L16" s="11">
        <v>0.0</v>
      </c>
      <c r="M16" s="11">
        <v>0.0</v>
      </c>
      <c r="N16" s="11">
        <v>0.0</v>
      </c>
      <c r="O16" s="11">
        <v>0.0</v>
      </c>
      <c r="P16" s="11">
        <v>0.0</v>
      </c>
      <c r="Q16" s="11">
        <v>0.0</v>
      </c>
      <c r="R16" s="11">
        <v>0.0</v>
      </c>
      <c r="S16" s="11">
        <v>0.0</v>
      </c>
    </row>
    <row r="17">
      <c r="A17" s="25" t="s">
        <v>21</v>
      </c>
      <c r="B17" s="26">
        <v>204242.0</v>
      </c>
      <c r="C17" s="26">
        <v>413256.0</v>
      </c>
      <c r="D17" s="26">
        <v>2013496.0</v>
      </c>
      <c r="E17" s="26">
        <v>3198356.0</v>
      </c>
      <c r="F17" s="26">
        <v>2241695.0</v>
      </c>
      <c r="G17" s="26">
        <v>2831645.0</v>
      </c>
      <c r="H17" s="28" t="str">
        <f>sum(H9+H13+H16)</f>
        <v>4,201,783</v>
      </c>
      <c r="I17" s="6"/>
      <c r="J17" s="12" t="str">
        <f t="shared" ref="J17:S17" si="10">sum(J9:J16)</f>
        <v>3510963.985</v>
      </c>
      <c r="K17" s="12" t="str">
        <f t="shared" si="10"/>
        <v>3159156.62</v>
      </c>
      <c r="L17" s="12" t="str">
        <f t="shared" si="10"/>
        <v>2842601.231</v>
      </c>
      <c r="M17" s="12" t="str">
        <f t="shared" si="10"/>
        <v>2557765.485</v>
      </c>
      <c r="N17" s="12" t="str">
        <f t="shared" si="10"/>
        <v>2301470.992</v>
      </c>
      <c r="O17" s="12" t="str">
        <f t="shared" si="10"/>
        <v>2070857.848</v>
      </c>
      <c r="P17" s="12" t="str">
        <f t="shared" si="10"/>
        <v>1863352.717</v>
      </c>
      <c r="Q17" s="12" t="str">
        <f t="shared" si="10"/>
        <v>1676640.119</v>
      </c>
      <c r="R17" s="12" t="str">
        <f t="shared" si="10"/>
        <v>1508636.591</v>
      </c>
      <c r="S17" s="12" t="str">
        <f t="shared" si="10"/>
        <v>1357467.436</v>
      </c>
    </row>
    <row r="18">
      <c r="A18" s="14"/>
      <c r="B18" s="14"/>
      <c r="C18" s="14"/>
      <c r="D18" s="14"/>
      <c r="E18" s="14"/>
      <c r="F18" s="14"/>
      <c r="G18" s="14"/>
      <c r="H18" s="36"/>
      <c r="I18" s="6"/>
      <c r="J18" s="6"/>
      <c r="K18" s="6"/>
      <c r="L18" s="6"/>
    </row>
    <row r="19">
      <c r="A19" s="24" t="s">
        <v>22</v>
      </c>
      <c r="B19" s="18"/>
      <c r="C19" s="18"/>
      <c r="D19" s="18"/>
      <c r="E19" s="18"/>
      <c r="F19" s="14"/>
      <c r="G19" s="14"/>
      <c r="H19" s="36"/>
      <c r="I19" s="6"/>
      <c r="J19" s="6"/>
      <c r="K19" s="6"/>
      <c r="L19" s="6"/>
    </row>
    <row r="20">
      <c r="A20" s="25" t="s">
        <v>23</v>
      </c>
      <c r="B20" s="26">
        <v>98563.0</v>
      </c>
      <c r="C20" s="26">
        <v>342833.0</v>
      </c>
      <c r="D20" s="26">
        <v>1437795.0</v>
      </c>
      <c r="E20" s="27">
        <v>2078080.0</v>
      </c>
      <c r="F20" s="26">
        <v>1451092.0</v>
      </c>
      <c r="G20" s="26">
        <v>1647993.0</v>
      </c>
      <c r="H20" s="34" t="str">
        <f>(H10+H13)*H21</f>
        <v>2536266.85</v>
      </c>
      <c r="I20" s="6"/>
      <c r="J20" s="12" t="str">
        <f t="shared" ref="J20:S20" si="11">J17*J21</f>
        <v>2317236.23</v>
      </c>
      <c r="K20" s="12" t="str">
        <f t="shared" si="11"/>
        <v>2085043.369</v>
      </c>
      <c r="L20" s="12" t="str">
        <f t="shared" si="11"/>
        <v>1876116.813</v>
      </c>
      <c r="M20" s="12" t="str">
        <f t="shared" si="11"/>
        <v>1688125.22</v>
      </c>
      <c r="N20" s="12" t="str">
        <f t="shared" si="11"/>
        <v>1518970.854</v>
      </c>
      <c r="O20" s="12" t="str">
        <f t="shared" si="11"/>
        <v>1366766.179</v>
      </c>
      <c r="P20" s="12" t="str">
        <f t="shared" si="11"/>
        <v>1229812.793</v>
      </c>
      <c r="Q20" s="12" t="str">
        <f t="shared" si="11"/>
        <v>1106582.479</v>
      </c>
      <c r="R20" s="12" t="str">
        <f t="shared" si="11"/>
        <v>995700.15</v>
      </c>
      <c r="S20" s="12" t="str">
        <f t="shared" si="11"/>
        <v>895928.5077</v>
      </c>
    </row>
    <row r="21">
      <c r="A21" s="31" t="s">
        <v>24</v>
      </c>
      <c r="B21" s="32">
        <v>0.68</v>
      </c>
      <c r="C21" s="32">
        <v>0.99</v>
      </c>
      <c r="D21" s="32">
        <v>0.8</v>
      </c>
      <c r="E21" s="32">
        <v>0.7</v>
      </c>
      <c r="F21" s="32">
        <v>0.72</v>
      </c>
      <c r="G21" s="32">
        <v>0.63</v>
      </c>
      <c r="H21" s="33">
        <v>0.65</v>
      </c>
      <c r="I21" s="11" t="s">
        <v>25</v>
      </c>
      <c r="J21" s="6" t="str">
        <f t="shared" ref="J21:S21" si="12">0.66</f>
        <v>0.66</v>
      </c>
      <c r="K21" s="6" t="str">
        <f t="shared" si="12"/>
        <v>0.66</v>
      </c>
      <c r="L21" s="6" t="str">
        <f t="shared" si="12"/>
        <v>0.66</v>
      </c>
      <c r="M21" s="6" t="str">
        <f t="shared" si="12"/>
        <v>0.66</v>
      </c>
      <c r="N21" s="6" t="str">
        <f t="shared" si="12"/>
        <v>0.66</v>
      </c>
      <c r="O21" s="6" t="str">
        <f t="shared" si="12"/>
        <v>0.66</v>
      </c>
      <c r="P21" s="6" t="str">
        <f t="shared" si="12"/>
        <v>0.66</v>
      </c>
      <c r="Q21" s="6" t="str">
        <f t="shared" si="12"/>
        <v>0.66</v>
      </c>
      <c r="R21" s="6" t="str">
        <f t="shared" si="12"/>
        <v>0.66</v>
      </c>
      <c r="S21" s="6" t="str">
        <f t="shared" si="12"/>
        <v>0.66</v>
      </c>
    </row>
    <row r="22">
      <c r="A22" s="25" t="s">
        <v>17</v>
      </c>
      <c r="B22" s="26">
        <v>27165.0</v>
      </c>
      <c r="C22" s="26">
        <v>11531.0</v>
      </c>
      <c r="D22" s="26">
        <v>13356.0</v>
      </c>
      <c r="E22" s="27">
        <v>6674.0</v>
      </c>
      <c r="F22" s="26">
        <v>6674.0</v>
      </c>
      <c r="G22" s="29">
        <v>0.0</v>
      </c>
      <c r="H22" s="30">
        <v>0.0</v>
      </c>
      <c r="J22" s="11">
        <v>0.0</v>
      </c>
      <c r="K22" s="11">
        <v>0.0</v>
      </c>
      <c r="L22" s="11">
        <v>0.0</v>
      </c>
      <c r="M22" s="11">
        <v>0.0</v>
      </c>
      <c r="N22" s="11">
        <v>0.0</v>
      </c>
      <c r="O22" s="11">
        <v>0.0</v>
      </c>
      <c r="P22" s="11">
        <v>0.0</v>
      </c>
      <c r="Q22" s="11">
        <v>0.0</v>
      </c>
      <c r="R22" s="11">
        <v>0.0</v>
      </c>
      <c r="S22" s="11">
        <v>0.0</v>
      </c>
    </row>
    <row r="23">
      <c r="A23" s="31" t="s">
        <v>26</v>
      </c>
      <c r="B23" s="32">
        <v>0.49</v>
      </c>
      <c r="C23" s="32">
        <v>0.42</v>
      </c>
      <c r="D23" s="32">
        <v>0.85</v>
      </c>
      <c r="E23" s="32">
        <v>1.18</v>
      </c>
      <c r="F23" s="18"/>
      <c r="G23" s="18"/>
      <c r="H23" s="37">
        <v>0.0</v>
      </c>
      <c r="I23" s="6"/>
      <c r="J23" s="11">
        <v>0.0</v>
      </c>
      <c r="K23" s="11">
        <v>0.0</v>
      </c>
      <c r="L23" s="11">
        <v>0.0</v>
      </c>
      <c r="M23" s="11">
        <v>0.0</v>
      </c>
      <c r="N23" s="11">
        <v>0.0</v>
      </c>
      <c r="O23" s="11">
        <v>0.0</v>
      </c>
      <c r="P23" s="11">
        <v>0.0</v>
      </c>
      <c r="Q23" s="11">
        <v>0.0</v>
      </c>
      <c r="R23" s="11">
        <v>0.0</v>
      </c>
      <c r="S23" s="11">
        <v>0.0</v>
      </c>
    </row>
    <row r="24">
      <c r="A24" s="38" t="s">
        <v>27</v>
      </c>
      <c r="B24" s="18"/>
      <c r="C24" s="18"/>
      <c r="D24" s="18"/>
      <c r="E24" s="18"/>
      <c r="F24" s="18"/>
      <c r="G24" s="39">
        <v>199846.0</v>
      </c>
      <c r="H24" s="40" t="str">
        <f>(G24/G16)*H16</f>
        <v>288523.8949</v>
      </c>
      <c r="I24" s="11" t="s">
        <v>20</v>
      </c>
      <c r="J24" s="11">
        <v>0.0</v>
      </c>
      <c r="K24" s="11">
        <v>0.0</v>
      </c>
      <c r="L24" s="11">
        <v>0.0</v>
      </c>
      <c r="M24" s="11">
        <v>0.0</v>
      </c>
      <c r="N24" s="11">
        <v>0.0</v>
      </c>
      <c r="O24" s="11">
        <v>0.0</v>
      </c>
      <c r="P24" s="11">
        <v>0.0</v>
      </c>
      <c r="Q24" s="11">
        <v>0.0</v>
      </c>
      <c r="R24" s="11">
        <v>0.0</v>
      </c>
      <c r="S24" s="11">
        <v>0.0</v>
      </c>
    </row>
    <row r="25">
      <c r="A25" s="25" t="s">
        <v>28</v>
      </c>
      <c r="B25" s="26">
        <v>125728.0</v>
      </c>
      <c r="C25" s="26">
        <v>354364.0</v>
      </c>
      <c r="D25" s="26">
        <v>1451151.0</v>
      </c>
      <c r="E25" s="26">
        <v>2084754.0</v>
      </c>
      <c r="F25" s="26">
        <v>1457766.0</v>
      </c>
      <c r="G25" s="26">
        <v>1847839.0</v>
      </c>
      <c r="H25" s="34" t="str">
        <f>H20+H24</f>
        <v>2824790.745</v>
      </c>
      <c r="I25" s="6"/>
      <c r="J25" s="12" t="str">
        <f t="shared" ref="J25:S25" si="13">J20</f>
        <v>2317236.23</v>
      </c>
      <c r="K25" s="12" t="str">
        <f t="shared" si="13"/>
        <v>2085043.369</v>
      </c>
      <c r="L25" s="12" t="str">
        <f t="shared" si="13"/>
        <v>1876116.813</v>
      </c>
      <c r="M25" s="12" t="str">
        <f t="shared" si="13"/>
        <v>1688125.22</v>
      </c>
      <c r="N25" s="12" t="str">
        <f t="shared" si="13"/>
        <v>1518970.854</v>
      </c>
      <c r="O25" s="12" t="str">
        <f t="shared" si="13"/>
        <v>1366766.179</v>
      </c>
      <c r="P25" s="12" t="str">
        <f t="shared" si="13"/>
        <v>1229812.793</v>
      </c>
      <c r="Q25" s="12" t="str">
        <f t="shared" si="13"/>
        <v>1106582.479</v>
      </c>
      <c r="R25" s="12" t="str">
        <f t="shared" si="13"/>
        <v>995700.15</v>
      </c>
      <c r="S25" s="12" t="str">
        <f t="shared" si="13"/>
        <v>895928.5077</v>
      </c>
    </row>
    <row r="26">
      <c r="A26" s="25" t="s">
        <v>29</v>
      </c>
      <c r="B26" s="26">
        <v>78514.0</v>
      </c>
      <c r="C26" s="26">
        <v>58892.0</v>
      </c>
      <c r="D26" s="26">
        <v>562345.0</v>
      </c>
      <c r="E26" s="26">
        <v>1113602.0</v>
      </c>
      <c r="F26" s="26">
        <v>619974.0</v>
      </c>
      <c r="G26" s="26">
        <v>983806.0</v>
      </c>
      <c r="H26" s="28" t="str">
        <f>H17-H25</f>
        <v>1,376,992</v>
      </c>
      <c r="I26" s="6"/>
      <c r="J26" s="12" t="str">
        <f t="shared" ref="J26:S26" si="14">J17-J25</f>
        <v>1193727.755</v>
      </c>
      <c r="K26" s="12" t="str">
        <f t="shared" si="14"/>
        <v>1074113.251</v>
      </c>
      <c r="L26" s="12" t="str">
        <f t="shared" si="14"/>
        <v>966484.4187</v>
      </c>
      <c r="M26" s="12" t="str">
        <f t="shared" si="14"/>
        <v>869640.2647</v>
      </c>
      <c r="N26" s="12" t="str">
        <f t="shared" si="14"/>
        <v>782500.1371</v>
      </c>
      <c r="O26" s="12" t="str">
        <f t="shared" si="14"/>
        <v>704091.6682</v>
      </c>
      <c r="P26" s="12" t="str">
        <f t="shared" si="14"/>
        <v>633539.9238</v>
      </c>
      <c r="Q26" s="12" t="str">
        <f t="shared" si="14"/>
        <v>570057.6406</v>
      </c>
      <c r="R26" s="12" t="str">
        <f t="shared" si="14"/>
        <v>512936.4409</v>
      </c>
      <c r="S26" s="12" t="str">
        <f t="shared" si="14"/>
        <v>461538.9282</v>
      </c>
    </row>
    <row r="27">
      <c r="A27" s="14"/>
      <c r="B27" s="19">
        <v>0.53</v>
      </c>
      <c r="C27" s="19">
        <v>0.15</v>
      </c>
      <c r="D27" s="19">
        <v>0.28</v>
      </c>
      <c r="E27" s="19">
        <v>0.35</v>
      </c>
      <c r="F27" s="19">
        <v>0.28</v>
      </c>
      <c r="G27" s="19">
        <v>0.37</v>
      </c>
      <c r="H27" s="34" t="str">
        <f>H26/H17</f>
        <v>0.3277161891</v>
      </c>
      <c r="I27" s="6"/>
      <c r="J27" s="12" t="str">
        <f t="shared" ref="J27:S27" si="15">J26/J17</f>
        <v>0.34</v>
      </c>
      <c r="K27" s="12" t="str">
        <f t="shared" si="15"/>
        <v>0.34</v>
      </c>
      <c r="L27" s="12" t="str">
        <f t="shared" si="15"/>
        <v>0.34</v>
      </c>
      <c r="M27" s="12" t="str">
        <f t="shared" si="15"/>
        <v>0.34</v>
      </c>
      <c r="N27" s="12" t="str">
        <f t="shared" si="15"/>
        <v>0.34</v>
      </c>
      <c r="O27" s="12" t="str">
        <f t="shared" si="15"/>
        <v>0.34</v>
      </c>
      <c r="P27" s="12" t="str">
        <f t="shared" si="15"/>
        <v>0.34</v>
      </c>
      <c r="Q27" s="12" t="str">
        <f t="shared" si="15"/>
        <v>0.34</v>
      </c>
      <c r="R27" s="12" t="str">
        <f t="shared" si="15"/>
        <v>0.34</v>
      </c>
      <c r="S27" s="12" t="str">
        <f t="shared" si="15"/>
        <v>0.34</v>
      </c>
    </row>
    <row r="28">
      <c r="A28" s="24" t="s">
        <v>30</v>
      </c>
      <c r="B28" s="14"/>
      <c r="C28" s="14"/>
      <c r="D28" s="14"/>
      <c r="E28" s="14"/>
      <c r="F28" s="14"/>
      <c r="G28" s="14"/>
      <c r="H28" s="36"/>
      <c r="I28" s="6"/>
      <c r="J28" s="6"/>
      <c r="K28" s="6"/>
      <c r="L28" s="6"/>
    </row>
    <row r="29">
      <c r="A29" s="25" t="s">
        <v>31</v>
      </c>
      <c r="B29" s="26">
        <v>208981.0</v>
      </c>
      <c r="C29" s="26">
        <v>273978.0</v>
      </c>
      <c r="D29" s="26">
        <v>231976.0</v>
      </c>
      <c r="E29" s="27">
        <v>464700.0</v>
      </c>
      <c r="F29" s="26">
        <v>325135.0</v>
      </c>
      <c r="G29" s="27">
        <v>527657.0</v>
      </c>
      <c r="H29" s="34" t="str">
        <f>H17*H30</f>
        <v>798338.7861</v>
      </c>
      <c r="I29" s="6"/>
      <c r="J29" s="12" t="str">
        <f t="shared" ref="J29:S29" si="16">J30*J17</f>
        <v>620387.3362</v>
      </c>
      <c r="K29" s="12" t="str">
        <f t="shared" si="16"/>
        <v>519147.3665</v>
      </c>
      <c r="L29" s="12" t="str">
        <f t="shared" si="16"/>
        <v>434428.5778</v>
      </c>
      <c r="M29" s="12" t="str">
        <f t="shared" si="16"/>
        <v>363534.9062</v>
      </c>
      <c r="N29" s="12" t="str">
        <f t="shared" si="16"/>
        <v>304210.2542</v>
      </c>
      <c r="O29" s="12" t="str">
        <f t="shared" si="16"/>
        <v>254566.6928</v>
      </c>
      <c r="P29" s="12" t="str">
        <f t="shared" si="16"/>
        <v>213024.3809</v>
      </c>
      <c r="Q29" s="12" t="str">
        <f t="shared" si="16"/>
        <v>178261.2893</v>
      </c>
      <c r="R29" s="12" t="str">
        <f t="shared" si="16"/>
        <v>149171.1284</v>
      </c>
      <c r="S29" s="12" t="str">
        <f t="shared" si="16"/>
        <v>124828.1421</v>
      </c>
    </row>
    <row r="30">
      <c r="A30" s="31" t="s">
        <v>32</v>
      </c>
      <c r="B30" s="19">
        <v>1.02</v>
      </c>
      <c r="C30" s="19">
        <v>0.66</v>
      </c>
      <c r="D30" s="19">
        <v>0.12</v>
      </c>
      <c r="E30" s="19">
        <v>0.15</v>
      </c>
      <c r="F30" s="19">
        <v>0.15</v>
      </c>
      <c r="G30" s="19">
        <v>0.19</v>
      </c>
      <c r="H30" s="41">
        <v>0.19</v>
      </c>
      <c r="I30" s="42" t="s">
        <v>33</v>
      </c>
      <c r="J30" s="21" t="str">
        <f>0.19*0.93</f>
        <v>0.1767</v>
      </c>
      <c r="K30" s="23" t="str">
        <f t="shared" ref="K30:S30" si="17">J30*0.93</f>
        <v>0.164331</v>
      </c>
      <c r="L30" s="23" t="str">
        <f t="shared" si="17"/>
        <v>0.15282783</v>
      </c>
      <c r="M30" s="23" t="str">
        <f t="shared" si="17"/>
        <v>0.1421298819</v>
      </c>
      <c r="N30" s="23" t="str">
        <f t="shared" si="17"/>
        <v>0.1321807902</v>
      </c>
      <c r="O30" s="23" t="str">
        <f t="shared" si="17"/>
        <v>0.1229281349</v>
      </c>
      <c r="P30" s="23" t="str">
        <f t="shared" si="17"/>
        <v>0.1143231654</v>
      </c>
      <c r="Q30" s="23" t="str">
        <f t="shared" si="17"/>
        <v>0.1063205438</v>
      </c>
      <c r="R30" s="23" t="str">
        <f t="shared" si="17"/>
        <v>0.09887810577</v>
      </c>
      <c r="S30" s="23" t="str">
        <f t="shared" si="17"/>
        <v>0.09195663836</v>
      </c>
    </row>
    <row r="31">
      <c r="A31" s="25" t="s">
        <v>34</v>
      </c>
      <c r="B31" s="26">
        <v>104102.0</v>
      </c>
      <c r="C31" s="26">
        <v>150372.0</v>
      </c>
      <c r="D31" s="26">
        <v>285569.0</v>
      </c>
      <c r="E31" s="27">
        <v>603660.0</v>
      </c>
      <c r="F31" s="26">
        <v>406690.0</v>
      </c>
      <c r="G31" s="27">
        <v>633578.0</v>
      </c>
      <c r="H31" s="34" t="str">
        <f>H17*H32</f>
        <v>924392.2786</v>
      </c>
      <c r="I31" s="6"/>
      <c r="J31" s="12" t="str">
        <f t="shared" ref="J31:S31" si="18">J32*J17</f>
        <v>722205.2918</v>
      </c>
      <c r="K31" s="12" t="str">
        <f t="shared" si="18"/>
        <v>607599.0131</v>
      </c>
      <c r="L31" s="12" t="str">
        <f t="shared" si="18"/>
        <v>511179.5288</v>
      </c>
      <c r="M31" s="12" t="str">
        <f t="shared" si="18"/>
        <v>430060.7885</v>
      </c>
      <c r="N31" s="12" t="str">
        <f t="shared" si="18"/>
        <v>361814.7274</v>
      </c>
      <c r="O31" s="12" t="str">
        <f t="shared" si="18"/>
        <v>304398.5884</v>
      </c>
      <c r="P31" s="12" t="str">
        <f t="shared" si="18"/>
        <v>256093.7785</v>
      </c>
      <c r="Q31" s="12" t="str">
        <f t="shared" si="18"/>
        <v>215454.4268</v>
      </c>
      <c r="R31" s="12" t="str">
        <f t="shared" si="18"/>
        <v>181264.1069</v>
      </c>
      <c r="S31" s="12" t="str">
        <f t="shared" si="18"/>
        <v>152499.4262</v>
      </c>
    </row>
    <row r="32">
      <c r="A32" s="31" t="s">
        <v>32</v>
      </c>
      <c r="B32" s="43">
        <v>0.51</v>
      </c>
      <c r="C32" s="43">
        <v>0.36</v>
      </c>
      <c r="D32" s="43">
        <v>0.14</v>
      </c>
      <c r="E32" s="43">
        <v>0.19</v>
      </c>
      <c r="F32" s="43">
        <v>0.18</v>
      </c>
      <c r="G32" s="43">
        <v>0.22</v>
      </c>
      <c r="H32" s="35">
        <v>0.22</v>
      </c>
      <c r="I32" s="11" t="s">
        <v>35</v>
      </c>
      <c r="J32" s="12" t="str">
        <f>0.935*G32</f>
        <v>0.2057</v>
      </c>
      <c r="K32" s="12" t="str">
        <f t="shared" ref="K32:S32" si="19">0.935*J32</f>
        <v>0.1923295</v>
      </c>
      <c r="L32" s="12" t="str">
        <f t="shared" si="19"/>
        <v>0.1798280825</v>
      </c>
      <c r="M32" s="12" t="str">
        <f t="shared" si="19"/>
        <v>0.1681392571</v>
      </c>
      <c r="N32" s="12" t="str">
        <f t="shared" si="19"/>
        <v>0.1572102054</v>
      </c>
      <c r="O32" s="12" t="str">
        <f t="shared" si="19"/>
        <v>0.1469915421</v>
      </c>
      <c r="P32" s="12" t="str">
        <f t="shared" si="19"/>
        <v>0.1374370918</v>
      </c>
      <c r="Q32" s="12" t="str">
        <f t="shared" si="19"/>
        <v>0.1285036809</v>
      </c>
      <c r="R32" s="12" t="str">
        <f t="shared" si="19"/>
        <v>0.1201509416</v>
      </c>
      <c r="S32" s="12" t="str">
        <f t="shared" si="19"/>
        <v>0.1123411304</v>
      </c>
    </row>
    <row r="33">
      <c r="A33" s="25" t="s">
        <v>36</v>
      </c>
      <c r="B33" s="26">
        <v>313083.0</v>
      </c>
      <c r="C33" s="26">
        <v>424350.0</v>
      </c>
      <c r="D33" s="26">
        <v>517545.0</v>
      </c>
      <c r="E33" s="26">
        <v>1068360.0</v>
      </c>
      <c r="F33" s="26">
        <v>731825.0</v>
      </c>
      <c r="G33" s="26">
        <v>1161235.0</v>
      </c>
      <c r="H33" s="34" t="str">
        <f>H31+H29</f>
        <v>1722731.065</v>
      </c>
      <c r="I33" s="6"/>
      <c r="J33" s="12" t="str">
        <f t="shared" ref="J33:S33" si="20">J29+J31</f>
        <v>1342592.628</v>
      </c>
      <c r="K33" s="12" t="str">
        <f t="shared" si="20"/>
        <v>1126746.38</v>
      </c>
      <c r="L33" s="12" t="str">
        <f t="shared" si="20"/>
        <v>945608.1065</v>
      </c>
      <c r="M33" s="12" t="str">
        <f t="shared" si="20"/>
        <v>793595.6947</v>
      </c>
      <c r="N33" s="12" t="str">
        <f t="shared" si="20"/>
        <v>666024.9816</v>
      </c>
      <c r="O33" s="12" t="str">
        <f t="shared" si="20"/>
        <v>558965.2812</v>
      </c>
      <c r="P33" s="12" t="str">
        <f t="shared" si="20"/>
        <v>469118.1594</v>
      </c>
      <c r="Q33" s="12" t="str">
        <f t="shared" si="20"/>
        <v>393715.7162</v>
      </c>
      <c r="R33" s="12" t="str">
        <f t="shared" si="20"/>
        <v>330435.2353</v>
      </c>
      <c r="S33" s="12" t="str">
        <f t="shared" si="20"/>
        <v>277327.5683</v>
      </c>
    </row>
    <row r="34">
      <c r="A34" s="18"/>
      <c r="B34" s="18"/>
      <c r="C34" s="18"/>
      <c r="D34" s="18"/>
      <c r="E34" s="18"/>
      <c r="F34" s="18"/>
      <c r="G34" s="18"/>
      <c r="H34" s="44"/>
      <c r="I34" s="6"/>
      <c r="J34" s="6"/>
      <c r="K34" s="6"/>
      <c r="L34" s="6"/>
    </row>
    <row r="35">
      <c r="A35" s="24" t="s">
        <v>37</v>
      </c>
      <c r="B35" s="26">
        <v>-234569.0</v>
      </c>
      <c r="C35" s="26">
        <v>-365458.0</v>
      </c>
      <c r="D35" s="26">
        <v>44800.0</v>
      </c>
      <c r="E35" s="26">
        <v>45242.0</v>
      </c>
      <c r="F35" s="26">
        <v>-111851.0</v>
      </c>
      <c r="G35" s="26">
        <v>-177429.0</v>
      </c>
      <c r="H35" s="28" t="str">
        <f>H26-H33</f>
        <v>-345,739</v>
      </c>
      <c r="I35" s="6"/>
      <c r="J35" s="12" t="str">
        <f t="shared" ref="J35:S35" si="21">J26-J33</f>
        <v>-148864.873</v>
      </c>
      <c r="K35" s="12" t="str">
        <f t="shared" si="21"/>
        <v>-52633.12886</v>
      </c>
      <c r="L35" s="12" t="str">
        <f t="shared" si="21"/>
        <v>20876.31217</v>
      </c>
      <c r="M35" s="12" t="str">
        <f t="shared" si="21"/>
        <v>76044.57</v>
      </c>
      <c r="N35" s="12" t="str">
        <f t="shared" si="21"/>
        <v>116475.1556</v>
      </c>
      <c r="O35" s="12" t="str">
        <f t="shared" si="21"/>
        <v>145126.387</v>
      </c>
      <c r="P35" s="12" t="str">
        <f t="shared" si="21"/>
        <v>164421.7644</v>
      </c>
      <c r="Q35" s="12" t="str">
        <f t="shared" si="21"/>
        <v>176341.9245</v>
      </c>
      <c r="R35" s="12" t="str">
        <f t="shared" si="21"/>
        <v>182501.2056</v>
      </c>
      <c r="S35" s="12" t="str">
        <f t="shared" si="21"/>
        <v>184211.3599</v>
      </c>
    </row>
    <row r="36">
      <c r="A36" s="25" t="s">
        <v>38</v>
      </c>
      <c r="B36" s="26">
        <v>16919.0</v>
      </c>
      <c r="C36" s="26">
        <v>28825.0</v>
      </c>
      <c r="D36" s="26">
        <v>106083.0</v>
      </c>
      <c r="E36" s="26">
        <v>231931.0</v>
      </c>
      <c r="F36" s="26">
        <v>163955.0</v>
      </c>
      <c r="G36" s="26">
        <v>278867.0</v>
      </c>
      <c r="H36" s="34" t="str">
        <f>H17*H37</f>
        <v>420178.3085</v>
      </c>
      <c r="I36" s="6"/>
      <c r="J36" s="12" t="str">
        <f t="shared" ref="J36:S36" si="22">J37*J17</f>
        <v>330030.6146</v>
      </c>
      <c r="K36" s="12" t="str">
        <f t="shared" si="22"/>
        <v>279143.0789</v>
      </c>
      <c r="L36" s="12" t="str">
        <f t="shared" si="22"/>
        <v>236101.9101</v>
      </c>
      <c r="M36" s="12" t="str">
        <f t="shared" si="22"/>
        <v>199697.2742</v>
      </c>
      <c r="N36" s="12" t="str">
        <f t="shared" si="22"/>
        <v>168905.8818</v>
      </c>
      <c r="O36" s="12" t="str">
        <f t="shared" si="22"/>
        <v>142862.225</v>
      </c>
      <c r="P36" s="12" t="str">
        <f t="shared" si="22"/>
        <v>120834.2487</v>
      </c>
      <c r="Q36" s="12" t="str">
        <f t="shared" si="22"/>
        <v>102202.7738</v>
      </c>
      <c r="R36" s="12" t="str">
        <f t="shared" si="22"/>
        <v>86444.0925</v>
      </c>
      <c r="S36" s="12" t="str">
        <f t="shared" si="22"/>
        <v>73115.24779</v>
      </c>
    </row>
    <row r="37">
      <c r="A37" s="31" t="s">
        <v>32</v>
      </c>
      <c r="B37" s="32">
        <v>0.08</v>
      </c>
      <c r="C37" s="32">
        <v>0.07</v>
      </c>
      <c r="D37" s="32">
        <v>0.05</v>
      </c>
      <c r="E37" s="32">
        <v>0.07</v>
      </c>
      <c r="F37" s="32">
        <v>0.07</v>
      </c>
      <c r="G37" s="32">
        <v>0.1</v>
      </c>
      <c r="H37" s="33">
        <v>0.1</v>
      </c>
      <c r="I37" s="11" t="s">
        <v>39</v>
      </c>
      <c r="J37" s="35" t="str">
        <f>0.94*0.1</f>
        <v>9%</v>
      </c>
      <c r="K37" s="12" t="str">
        <f t="shared" ref="K37:S37" si="23">0.94*J37</f>
        <v>0.08836</v>
      </c>
      <c r="L37" s="12" t="str">
        <f t="shared" si="23"/>
        <v>0.0830584</v>
      </c>
      <c r="M37" s="12" t="str">
        <f t="shared" si="23"/>
        <v>0.078074896</v>
      </c>
      <c r="N37" s="12" t="str">
        <f t="shared" si="23"/>
        <v>0.07339040224</v>
      </c>
      <c r="O37" s="12" t="str">
        <f t="shared" si="23"/>
        <v>0.06898697811</v>
      </c>
      <c r="P37" s="12" t="str">
        <f t="shared" si="23"/>
        <v>0.06484775942</v>
      </c>
      <c r="Q37" s="12" t="str">
        <f t="shared" si="23"/>
        <v>0.06095689385</v>
      </c>
      <c r="R37" s="12" t="str">
        <f t="shared" si="23"/>
        <v>0.05729948022</v>
      </c>
      <c r="S37" s="12" t="str">
        <f t="shared" si="23"/>
        <v>0.05386151141</v>
      </c>
    </row>
    <row r="38">
      <c r="A38" s="38" t="s">
        <v>40</v>
      </c>
      <c r="B38" s="39">
        <v>-251488.0</v>
      </c>
      <c r="C38" s="39">
        <v>-394283.0</v>
      </c>
      <c r="D38" s="39">
        <v>-61283.0</v>
      </c>
      <c r="E38" s="39">
        <v>-186689.0</v>
      </c>
      <c r="F38" s="39">
        <v>-275806.0</v>
      </c>
      <c r="G38" s="39">
        <v>-456296.0</v>
      </c>
      <c r="H38" s="45" t="str">
        <f>H35-H36</f>
        <v>-765,917</v>
      </c>
      <c r="I38" s="6"/>
      <c r="J38" s="12" t="str">
        <f t="shared" ref="J38:S38" si="24">J35-J36</f>
        <v>-478895.4876</v>
      </c>
      <c r="K38" s="12" t="str">
        <f t="shared" si="24"/>
        <v>-331776.2078</v>
      </c>
      <c r="L38" s="12" t="str">
        <f t="shared" si="24"/>
        <v>-215225.5979</v>
      </c>
      <c r="M38" s="12" t="str">
        <f t="shared" si="24"/>
        <v>-123652.7042</v>
      </c>
      <c r="N38" s="12" t="str">
        <f t="shared" si="24"/>
        <v>-52430.72625</v>
      </c>
      <c r="O38" s="12" t="str">
        <f t="shared" si="24"/>
        <v>2264.162007</v>
      </c>
      <c r="P38" s="12" t="str">
        <f t="shared" si="24"/>
        <v>43587.51569</v>
      </c>
      <c r="Q38" s="12" t="str">
        <f t="shared" si="24"/>
        <v>74139.15066</v>
      </c>
      <c r="R38" s="12" t="str">
        <f t="shared" si="24"/>
        <v>96057.11306</v>
      </c>
      <c r="S38" s="12" t="str">
        <f t="shared" si="24"/>
        <v>111096.1121</v>
      </c>
    </row>
    <row r="39">
      <c r="A39" s="25" t="s">
        <v>41</v>
      </c>
      <c r="B39" s="29">
        <v>255.0</v>
      </c>
      <c r="C39" s="29">
        <v>288.0</v>
      </c>
      <c r="D39" s="29">
        <v>189.0</v>
      </c>
      <c r="E39" s="26">
        <v>1126.0</v>
      </c>
      <c r="F39" s="29">
        <v>907.0</v>
      </c>
      <c r="G39" s="29">
        <v>758.0</v>
      </c>
      <c r="H39" s="37">
        <v>0.0</v>
      </c>
      <c r="I39" s="11" t="s">
        <v>42</v>
      </c>
      <c r="J39" s="6" t="str">
        <f t="shared" ref="J39:S39" si="25">0</f>
        <v>0</v>
      </c>
      <c r="K39" s="6" t="str">
        <f t="shared" si="25"/>
        <v>0</v>
      </c>
      <c r="L39" s="6" t="str">
        <f t="shared" si="25"/>
        <v>0</v>
      </c>
      <c r="M39" s="6" t="str">
        <f t="shared" si="25"/>
        <v>0</v>
      </c>
      <c r="N39" s="6" t="str">
        <f t="shared" si="25"/>
        <v>0</v>
      </c>
      <c r="O39" s="6" t="str">
        <f t="shared" si="25"/>
        <v>0</v>
      </c>
      <c r="P39" s="6" t="str">
        <f t="shared" si="25"/>
        <v>0</v>
      </c>
      <c r="Q39" s="6" t="str">
        <f t="shared" si="25"/>
        <v>0</v>
      </c>
      <c r="R39" s="6" t="str">
        <f t="shared" si="25"/>
        <v>0</v>
      </c>
      <c r="S39" s="6" t="str">
        <f t="shared" si="25"/>
        <v>0</v>
      </c>
    </row>
    <row r="40">
      <c r="A40" s="25" t="s">
        <v>43</v>
      </c>
      <c r="B40" s="29">
        <v>-43.0</v>
      </c>
      <c r="C40" s="29">
        <v>-254.0</v>
      </c>
      <c r="D40" s="26">
        <v>-32934.0</v>
      </c>
      <c r="E40" s="26">
        <v>-100886.0</v>
      </c>
      <c r="F40" s="26">
        <v>-72183.0</v>
      </c>
      <c r="G40" s="26">
        <v>-80234.0</v>
      </c>
      <c r="H40" s="46">
        <v>-90000.0</v>
      </c>
      <c r="I40" s="11" t="s">
        <v>44</v>
      </c>
      <c r="J40" s="6" t="str">
        <f>(-90000)*0.94</f>
        <v>-84600</v>
      </c>
      <c r="K40" s="12" t="str">
        <f t="shared" ref="K40:S40" si="26">J40*0.94</f>
        <v>-79524</v>
      </c>
      <c r="L40" s="12" t="str">
        <f t="shared" si="26"/>
        <v>-74752.56</v>
      </c>
      <c r="M40" s="12" t="str">
        <f t="shared" si="26"/>
        <v>-70267.4064</v>
      </c>
      <c r="N40" s="12" t="str">
        <f t="shared" si="26"/>
        <v>-66051.36202</v>
      </c>
      <c r="O40" s="12" t="str">
        <f t="shared" si="26"/>
        <v>-62088.2803</v>
      </c>
      <c r="P40" s="12" t="str">
        <f t="shared" si="26"/>
        <v>-58362.98348</v>
      </c>
      <c r="Q40" s="12" t="str">
        <f t="shared" si="26"/>
        <v>-54861.20447</v>
      </c>
      <c r="R40" s="12" t="str">
        <f t="shared" si="26"/>
        <v>-51569.5322</v>
      </c>
      <c r="S40" s="12" t="str">
        <f t="shared" si="26"/>
        <v>-48475.36027</v>
      </c>
    </row>
    <row r="41">
      <c r="A41" s="25" t="s">
        <v>45</v>
      </c>
      <c r="B41" s="26">
        <v>-2646.0</v>
      </c>
      <c r="C41" s="26">
        <v>-1828.0</v>
      </c>
      <c r="D41" s="26">
        <v>22602.0</v>
      </c>
      <c r="E41" s="26">
        <v>1813.0</v>
      </c>
      <c r="F41" s="26">
        <v>2401.0</v>
      </c>
      <c r="G41" s="26">
        <v>-24503.0</v>
      </c>
      <c r="H41" s="30">
        <v>0.0</v>
      </c>
      <c r="I41" s="11" t="s">
        <v>42</v>
      </c>
      <c r="J41" s="11">
        <v>0.0</v>
      </c>
      <c r="K41" s="11">
        <v>0.0</v>
      </c>
      <c r="L41" s="11">
        <v>0.0</v>
      </c>
      <c r="M41" s="11">
        <v>0.0</v>
      </c>
      <c r="N41" s="11">
        <v>0.0</v>
      </c>
      <c r="O41" s="11">
        <v>0.0</v>
      </c>
      <c r="P41" s="11">
        <v>0.0</v>
      </c>
      <c r="Q41" s="11">
        <v>0.0</v>
      </c>
      <c r="R41" s="11">
        <v>0.0</v>
      </c>
      <c r="S41" s="11">
        <v>0.0</v>
      </c>
    </row>
    <row r="42">
      <c r="A42" s="24" t="s">
        <v>46</v>
      </c>
      <c r="B42" s="26">
        <v>-253922.0</v>
      </c>
      <c r="C42" s="26">
        <v>-396077.0</v>
      </c>
      <c r="D42" s="26">
        <v>-71426.0</v>
      </c>
      <c r="E42" s="26">
        <v>-284636.0</v>
      </c>
      <c r="F42" s="26">
        <v>-344681.0</v>
      </c>
      <c r="G42" s="26">
        <v>-560275.0</v>
      </c>
      <c r="H42" s="47" t="str">
        <f>H38+H40</f>
        <v>-855,917</v>
      </c>
      <c r="I42" s="6"/>
      <c r="J42" s="12" t="str">
        <f t="shared" ref="J42:S42" si="27">J38+J40</f>
        <v>-563495.4876</v>
      </c>
      <c r="K42" s="12" t="str">
        <f t="shared" si="27"/>
        <v>-411300.2078</v>
      </c>
      <c r="L42" s="12" t="str">
        <f t="shared" si="27"/>
        <v>-289978.1579</v>
      </c>
      <c r="M42" s="12" t="str">
        <f t="shared" si="27"/>
        <v>-193920.1106</v>
      </c>
      <c r="N42" s="12" t="str">
        <f t="shared" si="27"/>
        <v>-118482.0883</v>
      </c>
      <c r="O42" s="12" t="str">
        <f t="shared" si="27"/>
        <v>-59824.11829</v>
      </c>
      <c r="P42" s="12" t="str">
        <f t="shared" si="27"/>
        <v>-14775.46778</v>
      </c>
      <c r="Q42" s="12" t="str">
        <f t="shared" si="27"/>
        <v>19277.9462</v>
      </c>
      <c r="R42" s="12" t="str">
        <f t="shared" si="27"/>
        <v>44487.58086</v>
      </c>
      <c r="S42" s="12" t="str">
        <f t="shared" si="27"/>
        <v>62620.75182</v>
      </c>
    </row>
    <row r="43">
      <c r="A43" s="25" t="s">
        <v>47</v>
      </c>
      <c r="B43" s="29">
        <v>489.0</v>
      </c>
      <c r="C43" s="29">
        <v>136.0</v>
      </c>
      <c r="D43" s="26">
        <v>2588.0</v>
      </c>
      <c r="E43" s="26">
        <v>9404.0</v>
      </c>
      <c r="F43" s="26">
        <v>5685.0</v>
      </c>
      <c r="G43" s="26">
        <v>7991.0</v>
      </c>
      <c r="H43" s="37">
        <v>0.0</v>
      </c>
      <c r="I43" s="11" t="s">
        <v>48</v>
      </c>
      <c r="J43" s="11">
        <v>0.0</v>
      </c>
      <c r="K43" s="11">
        <v>0.0</v>
      </c>
      <c r="L43" s="11">
        <v>0.0</v>
      </c>
      <c r="M43" s="11">
        <v>0.0</v>
      </c>
      <c r="N43" s="11">
        <v>0.0</v>
      </c>
      <c r="O43" s="11">
        <v>0.0</v>
      </c>
      <c r="P43" s="11">
        <v>0.0</v>
      </c>
      <c r="Q43" s="11" t="str">
        <f t="shared" ref="Q43:S43" si="28">0.35*Q42</f>
        <v>6747.281168</v>
      </c>
      <c r="R43" s="11" t="str">
        <f t="shared" si="28"/>
        <v>15570.6533</v>
      </c>
      <c r="S43" s="11" t="str">
        <f t="shared" si="28"/>
        <v>21917.26314</v>
      </c>
    </row>
    <row r="44">
      <c r="A44" s="24" t="s">
        <v>49</v>
      </c>
      <c r="B44" s="26">
        <v>-254411.0</v>
      </c>
      <c r="C44" s="26">
        <v>-396213.0</v>
      </c>
      <c r="D44" s="26">
        <v>-74014.0</v>
      </c>
      <c r="E44" s="26">
        <v>-294040.0</v>
      </c>
      <c r="F44" s="26">
        <v>-350366.0</v>
      </c>
      <c r="G44" s="26">
        <v>-568266.0</v>
      </c>
      <c r="H44" s="47" t="str">
        <f>H42+H43</f>
        <v>-855,917</v>
      </c>
      <c r="I44" s="6"/>
      <c r="J44" s="12" t="str">
        <f t="shared" ref="J44:S44" si="29">J42-J43</f>
        <v>-563495.4876</v>
      </c>
      <c r="K44" s="12" t="str">
        <f t="shared" si="29"/>
        <v>-411300.2078</v>
      </c>
      <c r="L44" s="12" t="str">
        <f t="shared" si="29"/>
        <v>-289978.1579</v>
      </c>
      <c r="M44" s="12" t="str">
        <f t="shared" si="29"/>
        <v>-193920.1106</v>
      </c>
      <c r="N44" s="12" t="str">
        <f t="shared" si="29"/>
        <v>-118482.0883</v>
      </c>
      <c r="O44" s="12" t="str">
        <f t="shared" si="29"/>
        <v>-59824.11829</v>
      </c>
      <c r="P44" s="12" t="str">
        <f t="shared" si="29"/>
        <v>-14775.46778</v>
      </c>
      <c r="Q44" s="12" t="str">
        <f t="shared" si="29"/>
        <v>12530.66503</v>
      </c>
      <c r="R44" s="12" t="str">
        <f t="shared" si="29"/>
        <v>28916.92756</v>
      </c>
      <c r="S44" s="12" t="str">
        <f t="shared" si="29"/>
        <v>40703.48868</v>
      </c>
    </row>
    <row r="47">
      <c r="I47" s="11" t="s">
        <v>51</v>
      </c>
      <c r="J47" s="12" t="str">
        <f t="shared" ref="J47:S47" si="30">J44+J36</f>
        <v>-233464.873</v>
      </c>
      <c r="K47" s="12" t="str">
        <f t="shared" si="30"/>
        <v>-132157.1289</v>
      </c>
      <c r="L47" s="12" t="str">
        <f t="shared" si="30"/>
        <v>-53876.24783</v>
      </c>
      <c r="M47" s="12" t="str">
        <f t="shared" si="30"/>
        <v>5777.163596</v>
      </c>
      <c r="N47" s="12" t="str">
        <f t="shared" si="30"/>
        <v>50423.79355</v>
      </c>
      <c r="O47" s="12" t="str">
        <f t="shared" si="30"/>
        <v>83038.1067</v>
      </c>
      <c r="P47" s="12" t="str">
        <f t="shared" si="30"/>
        <v>106058.7809</v>
      </c>
      <c r="Q47" s="12" t="str">
        <f t="shared" si="30"/>
        <v>114733.4388</v>
      </c>
      <c r="R47" s="12" t="str">
        <f t="shared" si="30"/>
        <v>115361.0201</v>
      </c>
      <c r="S47" s="12" t="str">
        <f t="shared" si="30"/>
        <v>113818.7365</v>
      </c>
    </row>
    <row r="48">
      <c r="I48" s="11" t="s">
        <v>53</v>
      </c>
      <c r="J48" s="11" t="str">
        <f t="shared" ref="J48:S48" si="31">J36</f>
        <v>330030.6146</v>
      </c>
      <c r="K48" s="11" t="str">
        <f t="shared" si="31"/>
        <v>279143.0789</v>
      </c>
      <c r="L48" s="11" t="str">
        <f t="shared" si="31"/>
        <v>236101.9101</v>
      </c>
      <c r="M48" s="11" t="str">
        <f t="shared" si="31"/>
        <v>199697.2742</v>
      </c>
      <c r="N48" s="11" t="str">
        <f t="shared" si="31"/>
        <v>168905.8818</v>
      </c>
      <c r="O48" s="11" t="str">
        <f t="shared" si="31"/>
        <v>142862.225</v>
      </c>
      <c r="P48" s="11" t="str">
        <f t="shared" si="31"/>
        <v>120834.2487</v>
      </c>
      <c r="Q48" s="11" t="str">
        <f t="shared" si="31"/>
        <v>102202.7738</v>
      </c>
      <c r="R48" s="11" t="str">
        <f t="shared" si="31"/>
        <v>86444.0925</v>
      </c>
      <c r="S48" s="11" t="str">
        <f t="shared" si="31"/>
        <v>73115.24779</v>
      </c>
    </row>
    <row r="49">
      <c r="I49" s="11" t="s">
        <v>55</v>
      </c>
      <c r="J49" s="6" t="str">
        <f t="shared" ref="J49:S49" si="32">0</f>
        <v>0</v>
      </c>
      <c r="K49" s="6" t="str">
        <f t="shared" si="32"/>
        <v>0</v>
      </c>
      <c r="L49" s="6" t="str">
        <f t="shared" si="32"/>
        <v>0</v>
      </c>
      <c r="M49" s="6" t="str">
        <f t="shared" si="32"/>
        <v>0</v>
      </c>
      <c r="N49" s="6" t="str">
        <f t="shared" si="32"/>
        <v>0</v>
      </c>
      <c r="O49" s="6" t="str">
        <f t="shared" si="32"/>
        <v>0</v>
      </c>
      <c r="P49" s="6" t="str">
        <f t="shared" si="32"/>
        <v>0</v>
      </c>
      <c r="Q49" s="6" t="str">
        <f t="shared" si="32"/>
        <v>0</v>
      </c>
      <c r="R49" s="6" t="str">
        <f t="shared" si="32"/>
        <v>0</v>
      </c>
      <c r="S49" s="6" t="str">
        <f t="shared" si="32"/>
        <v>0</v>
      </c>
    </row>
    <row r="50">
      <c r="I50" s="11" t="s">
        <v>57</v>
      </c>
      <c r="J50" s="12" t="str">
        <f t="shared" ref="J50:S50" si="33">J47-J48-J49</f>
        <v>-563495.4876</v>
      </c>
      <c r="K50" s="12" t="str">
        <f t="shared" si="33"/>
        <v>-411300.2078</v>
      </c>
      <c r="L50" s="12" t="str">
        <f t="shared" si="33"/>
        <v>-289978.1579</v>
      </c>
      <c r="M50" s="12" t="str">
        <f t="shared" si="33"/>
        <v>-193920.1106</v>
      </c>
      <c r="N50" s="12" t="str">
        <f t="shared" si="33"/>
        <v>-118482.0883</v>
      </c>
      <c r="O50" s="12" t="str">
        <f t="shared" si="33"/>
        <v>-59824.11829</v>
      </c>
      <c r="P50" s="12" t="str">
        <f t="shared" si="33"/>
        <v>-14775.46778</v>
      </c>
      <c r="Q50" s="12" t="str">
        <f t="shared" si="33"/>
        <v>12530.66503</v>
      </c>
      <c r="R50" s="12" t="str">
        <f t="shared" si="33"/>
        <v>28916.92756</v>
      </c>
      <c r="S50" s="12" t="str">
        <f t="shared" si="33"/>
        <v>40703.48868</v>
      </c>
    </row>
    <row r="51">
      <c r="I51" s="11" t="s">
        <v>59</v>
      </c>
      <c r="J51" s="12" t="str">
        <f t="shared" ref="J51:S51" si="34">(J52*J54)+((J53*J59)*J58)</f>
        <v>0.07839802198</v>
      </c>
      <c r="K51" s="12" t="str">
        <f t="shared" si="34"/>
        <v>0.07839802198</v>
      </c>
      <c r="L51" s="12" t="str">
        <f t="shared" si="34"/>
        <v>0.07839802198</v>
      </c>
      <c r="M51" s="12" t="str">
        <f t="shared" si="34"/>
        <v>0.07839802198</v>
      </c>
      <c r="N51" s="12" t="str">
        <f t="shared" si="34"/>
        <v>0.07839802198</v>
      </c>
      <c r="O51" s="12" t="str">
        <f t="shared" si="34"/>
        <v>0.07839802198</v>
      </c>
      <c r="P51" s="12" t="str">
        <f t="shared" si="34"/>
        <v>0.07839802198</v>
      </c>
      <c r="Q51" s="12" t="str">
        <f t="shared" si="34"/>
        <v>0.07070571429</v>
      </c>
      <c r="R51" s="12" t="str">
        <f t="shared" si="34"/>
        <v>0.07070571429</v>
      </c>
      <c r="S51" s="12" t="str">
        <f t="shared" si="34"/>
        <v>0.07070571429</v>
      </c>
    </row>
    <row r="52">
      <c r="I52" s="11" t="s">
        <v>61</v>
      </c>
      <c r="J52" s="6" t="str">
        <f t="shared" ref="J52:S52" si="35">0.91</f>
        <v>0.91</v>
      </c>
      <c r="K52" s="6" t="str">
        <f t="shared" si="35"/>
        <v>0.91</v>
      </c>
      <c r="L52" s="6" t="str">
        <f t="shared" si="35"/>
        <v>0.91</v>
      </c>
      <c r="M52" s="6" t="str">
        <f t="shared" si="35"/>
        <v>0.91</v>
      </c>
      <c r="N52" s="6" t="str">
        <f t="shared" si="35"/>
        <v>0.91</v>
      </c>
      <c r="O52" s="6" t="str">
        <f t="shared" si="35"/>
        <v>0.91</v>
      </c>
      <c r="P52" s="6" t="str">
        <f t="shared" si="35"/>
        <v>0.91</v>
      </c>
      <c r="Q52" s="6" t="str">
        <f t="shared" si="35"/>
        <v>0.91</v>
      </c>
      <c r="R52" s="6" t="str">
        <f t="shared" si="35"/>
        <v>0.91</v>
      </c>
      <c r="S52" s="6" t="str">
        <f t="shared" si="35"/>
        <v>0.91</v>
      </c>
    </row>
    <row r="53">
      <c r="I53" s="11" t="s">
        <v>63</v>
      </c>
      <c r="J53" s="12" t="str">
        <f t="shared" ref="J53:S53" si="36">1/J52</f>
        <v>1.098901099</v>
      </c>
      <c r="K53" s="12" t="str">
        <f t="shared" si="36"/>
        <v>1.098901099</v>
      </c>
      <c r="L53" s="12" t="str">
        <f t="shared" si="36"/>
        <v>1.098901099</v>
      </c>
      <c r="M53" s="12" t="str">
        <f t="shared" si="36"/>
        <v>1.098901099</v>
      </c>
      <c r="N53" s="12" t="str">
        <f t="shared" si="36"/>
        <v>1.098901099</v>
      </c>
      <c r="O53" s="12" t="str">
        <f t="shared" si="36"/>
        <v>1.098901099</v>
      </c>
      <c r="P53" s="12" t="str">
        <f t="shared" si="36"/>
        <v>1.098901099</v>
      </c>
      <c r="Q53" s="12" t="str">
        <f t="shared" si="36"/>
        <v>1.098901099</v>
      </c>
      <c r="R53" s="12" t="str">
        <f t="shared" si="36"/>
        <v>1.098901099</v>
      </c>
      <c r="S53" s="12" t="str">
        <f t="shared" si="36"/>
        <v>1.098901099</v>
      </c>
    </row>
    <row r="54">
      <c r="I54" s="11" t="s">
        <v>65</v>
      </c>
      <c r="J54" s="51" t="str">
        <f t="shared" ref="J54:S54" si="37">J55+(J56*J57)</f>
        <v>6%</v>
      </c>
      <c r="K54" s="51" t="str">
        <f t="shared" si="37"/>
        <v>6%</v>
      </c>
      <c r="L54" s="51" t="str">
        <f t="shared" si="37"/>
        <v>6%</v>
      </c>
      <c r="M54" s="51" t="str">
        <f t="shared" si="37"/>
        <v>6%</v>
      </c>
      <c r="N54" s="51" t="str">
        <f t="shared" si="37"/>
        <v>6%</v>
      </c>
      <c r="O54" s="51" t="str">
        <f t="shared" si="37"/>
        <v>6%</v>
      </c>
      <c r="P54" s="51" t="str">
        <f t="shared" si="37"/>
        <v>6%</v>
      </c>
      <c r="Q54" s="51" t="str">
        <f t="shared" si="37"/>
        <v>6%</v>
      </c>
      <c r="R54" s="51" t="str">
        <f t="shared" si="37"/>
        <v>6%</v>
      </c>
      <c r="S54" s="51" t="str">
        <f t="shared" si="37"/>
        <v>6%</v>
      </c>
    </row>
    <row r="55">
      <c r="I55" s="11" t="s">
        <v>67</v>
      </c>
      <c r="J55" s="35">
        <v>0.02</v>
      </c>
      <c r="K55" s="35">
        <v>0.02</v>
      </c>
      <c r="L55" s="35">
        <v>0.02</v>
      </c>
      <c r="M55" s="35">
        <v>0.02</v>
      </c>
      <c r="N55" s="35">
        <v>0.02</v>
      </c>
      <c r="O55" s="35">
        <v>0.02</v>
      </c>
      <c r="P55" s="35">
        <v>0.02</v>
      </c>
      <c r="Q55" s="35">
        <v>0.02</v>
      </c>
      <c r="R55" s="35">
        <v>0.02</v>
      </c>
      <c r="S55" s="35">
        <v>0.02</v>
      </c>
    </row>
    <row r="56">
      <c r="I56" s="11" t="s">
        <v>68</v>
      </c>
      <c r="J56" s="11">
        <v>0.6</v>
      </c>
      <c r="K56" s="11">
        <v>0.6</v>
      </c>
      <c r="L56" s="11">
        <v>0.6</v>
      </c>
      <c r="M56" s="11">
        <v>0.6</v>
      </c>
      <c r="N56" s="11">
        <v>0.6</v>
      </c>
      <c r="O56" s="11">
        <v>0.6</v>
      </c>
      <c r="P56" s="11">
        <v>0.6</v>
      </c>
      <c r="Q56" s="11">
        <v>0.6</v>
      </c>
      <c r="R56" s="11">
        <v>0.6</v>
      </c>
      <c r="S56" s="11">
        <v>0.6</v>
      </c>
    </row>
    <row r="57">
      <c r="I57" s="11" t="s">
        <v>70</v>
      </c>
      <c r="J57" s="35">
        <v>0.07</v>
      </c>
      <c r="K57" s="35">
        <v>0.07</v>
      </c>
      <c r="L57" s="35">
        <v>0.07</v>
      </c>
      <c r="M57" s="35">
        <v>0.07</v>
      </c>
      <c r="N57" s="35">
        <v>0.07</v>
      </c>
      <c r="O57" s="35">
        <v>0.07</v>
      </c>
      <c r="P57" s="35">
        <v>0.07</v>
      </c>
      <c r="Q57" s="35">
        <v>0.07</v>
      </c>
      <c r="R57" s="35">
        <v>0.07</v>
      </c>
      <c r="S57" s="35">
        <v>0.07</v>
      </c>
    </row>
    <row r="58">
      <c r="I58" s="11" t="s">
        <v>71</v>
      </c>
      <c r="J58" s="11">
        <v>1.0</v>
      </c>
      <c r="K58" s="11">
        <v>1.0</v>
      </c>
      <c r="L58" s="11">
        <v>1.0</v>
      </c>
      <c r="M58" s="11">
        <v>1.0</v>
      </c>
      <c r="N58" s="11">
        <v>1.0</v>
      </c>
      <c r="O58" s="11">
        <v>1.0</v>
      </c>
      <c r="P58" s="52">
        <v>1.0</v>
      </c>
      <c r="Q58" s="52">
        <v>0.65</v>
      </c>
      <c r="R58" s="52">
        <v>0.65</v>
      </c>
      <c r="S58" s="52">
        <v>0.65</v>
      </c>
    </row>
    <row r="59">
      <c r="I59" s="11" t="s">
        <v>73</v>
      </c>
      <c r="J59" s="35">
        <v>0.02</v>
      </c>
      <c r="K59" s="35">
        <v>0.02</v>
      </c>
      <c r="L59" s="35">
        <v>0.02</v>
      </c>
      <c r="M59" s="35">
        <v>0.02</v>
      </c>
      <c r="N59" s="35">
        <v>0.02</v>
      </c>
      <c r="O59" s="35">
        <v>0.02</v>
      </c>
      <c r="P59" s="35">
        <v>0.02</v>
      </c>
      <c r="Q59" s="35">
        <v>0.02</v>
      </c>
      <c r="R59" s="35">
        <v>0.02</v>
      </c>
      <c r="S59" s="35">
        <v>0.02</v>
      </c>
    </row>
    <row r="60">
      <c r="I60" s="11"/>
      <c r="J60" s="6"/>
      <c r="K60" s="6"/>
      <c r="L60" s="6"/>
    </row>
    <row r="61">
      <c r="I61" s="11" t="s">
        <v>75</v>
      </c>
      <c r="J61" s="12" t="str">
        <f t="shared" ref="J61:R61" si="38">(J50)/(1+J51)</f>
        <v>-522530.1569</v>
      </c>
      <c r="K61" s="12" t="str">
        <f t="shared" si="38"/>
        <v>-381399.2602</v>
      </c>
      <c r="L61" s="12" t="str">
        <f t="shared" si="38"/>
        <v>-268897.153</v>
      </c>
      <c r="M61" s="12" t="str">
        <f t="shared" si="38"/>
        <v>-179822.3909</v>
      </c>
      <c r="N61" s="12" t="str">
        <f t="shared" si="38"/>
        <v>-109868.6068</v>
      </c>
      <c r="O61" s="12" t="str">
        <f t="shared" si="38"/>
        <v>-55474.98889</v>
      </c>
      <c r="P61" s="12" t="str">
        <f t="shared" si="38"/>
        <v>-13701.31202</v>
      </c>
      <c r="Q61" s="12" t="str">
        <f t="shared" si="38"/>
        <v>11703.18311</v>
      </c>
      <c r="R61" s="12" t="str">
        <f t="shared" si="38"/>
        <v>27007.35335</v>
      </c>
      <c r="S61" s="12" t="str">
        <f>11.3*S44</f>
        <v>459949.4221</v>
      </c>
    </row>
    <row r="62">
      <c r="I62" s="6"/>
      <c r="J62" s="6"/>
      <c r="K62" s="6"/>
      <c r="L62" s="6"/>
    </row>
    <row r="63">
      <c r="I63" s="54" t="s">
        <v>78</v>
      </c>
      <c r="J63" s="55" t="str">
        <f>sum(J61:S61)*1000</f>
        <v>-1033033910</v>
      </c>
      <c r="K63" s="11" t="s">
        <v>79</v>
      </c>
      <c r="L63" s="6"/>
    </row>
    <row r="64">
      <c r="I64" s="54" t="s">
        <v>81</v>
      </c>
      <c r="J64" s="55" t="str">
        <f>0.4*J63</f>
        <v>-413213564</v>
      </c>
      <c r="K64" s="6"/>
      <c r="L64" s="6"/>
    </row>
    <row r="65">
      <c r="I65" s="54" t="s">
        <v>83</v>
      </c>
      <c r="J65" s="55" t="str">
        <f>J63-J64</f>
        <v>-619820346.1</v>
      </c>
      <c r="K65" s="6"/>
      <c r="L65" s="6"/>
    </row>
    <row r="66">
      <c r="I66" s="54" t="s">
        <v>85</v>
      </c>
      <c r="J66" s="56">
        <v>1.3E8</v>
      </c>
      <c r="K66" s="6"/>
      <c r="L66" s="6"/>
    </row>
    <row r="67">
      <c r="I67" s="58" t="s">
        <v>88</v>
      </c>
      <c r="J67" s="59" t="str">
        <f>J65/J66</f>
        <v>-4.767848816</v>
      </c>
      <c r="K67" s="6"/>
      <c r="L67" s="6"/>
    </row>
  </sheetData>
  <mergeCells count="1">
    <mergeCell ref="F1:G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6.71"/>
    <col customWidth="1" min="5" max="5" width="18.86"/>
    <col customWidth="1" min="8" max="8" width="19.29"/>
    <col customWidth="1" min="12" max="12" width="18.86"/>
    <col customWidth="1" min="14" max="14" width="16.71"/>
    <col customWidth="1" min="16" max="16" width="11.86"/>
    <col customWidth="1" min="19" max="19" width="19.0"/>
  </cols>
  <sheetData>
    <row r="1">
      <c r="A1" s="52" t="s">
        <v>108</v>
      </c>
      <c r="H1" s="52" t="s">
        <v>109</v>
      </c>
      <c r="O1" s="52" t="s">
        <v>110</v>
      </c>
    </row>
    <row r="2">
      <c r="B2" s="52" t="s">
        <v>111</v>
      </c>
      <c r="C2" s="52" t="s">
        <v>112</v>
      </c>
      <c r="D2" s="52" t="s">
        <v>113</v>
      </c>
      <c r="E2" s="52" t="s">
        <v>114</v>
      </c>
      <c r="F2" s="52" t="s">
        <v>115</v>
      </c>
      <c r="I2" s="52" t="s">
        <v>111</v>
      </c>
      <c r="J2" s="52" t="s">
        <v>112</v>
      </c>
      <c r="K2" s="52" t="s">
        <v>113</v>
      </c>
      <c r="L2" s="52" t="s">
        <v>114</v>
      </c>
      <c r="M2" s="52" t="s">
        <v>115</v>
      </c>
      <c r="P2" s="52" t="s">
        <v>111</v>
      </c>
      <c r="Q2" s="52" t="s">
        <v>112</v>
      </c>
      <c r="R2" s="52" t="s">
        <v>113</v>
      </c>
      <c r="S2" s="52" t="s">
        <v>114</v>
      </c>
      <c r="T2" s="52" t="s">
        <v>115</v>
      </c>
    </row>
    <row r="3">
      <c r="A3" s="52">
        <v>2015.0</v>
      </c>
      <c r="B3" s="52">
        <v>72.41</v>
      </c>
      <c r="C3" s="52" t="str">
        <f>D3/B3</f>
        <v>0.005330755421</v>
      </c>
      <c r="D3" s="52">
        <v>0.386</v>
      </c>
      <c r="E3" t="str">
        <f>F3/D3</f>
        <v>0.1295336788</v>
      </c>
      <c r="F3" s="52">
        <v>0.05</v>
      </c>
      <c r="H3" s="52">
        <v>2015.0</v>
      </c>
      <c r="I3" s="52">
        <v>72.41</v>
      </c>
      <c r="J3" s="52" t="str">
        <f>K3/I3</f>
        <v>0.005330755421</v>
      </c>
      <c r="K3" s="52">
        <v>0.386</v>
      </c>
      <c r="L3" t="str">
        <f>M3/K3</f>
        <v>0.1295336788</v>
      </c>
      <c r="M3" s="52">
        <v>0.05</v>
      </c>
      <c r="O3" s="52">
        <v>2015.0</v>
      </c>
      <c r="P3" s="52">
        <v>72.41</v>
      </c>
      <c r="Q3" s="52" t="str">
        <f>R3/P3</f>
        <v>0.005330755421</v>
      </c>
      <c r="R3" s="52">
        <v>0.386</v>
      </c>
      <c r="S3" t="str">
        <f>T3/R3</f>
        <v>0.1295336788</v>
      </c>
      <c r="T3" s="52">
        <v>0.05</v>
      </c>
    </row>
    <row r="4">
      <c r="A4" s="52">
        <v>2020.0</v>
      </c>
      <c r="B4" t="str">
        <f>B3*(1.036^5)</f>
        <v>86.41662969</v>
      </c>
      <c r="C4" t="str">
        <f>(1.21^5)*C3</f>
        <v>0.01382660668</v>
      </c>
      <c r="D4" t="str">
        <f t="shared" ref="D4:D5" si="1">B4*C4</f>
        <v>1.194848749</v>
      </c>
      <c r="E4" t="str">
        <f t="shared" ref="E4:E5" si="2">(1.12^5)*E3</f>
        <v>0.2282826015</v>
      </c>
      <c r="F4" t="str">
        <f t="shared" ref="F4:F5" si="3">E4*D4</f>
        <v>0.2727631808</v>
      </c>
      <c r="H4" s="52">
        <v>2020.0</v>
      </c>
      <c r="I4" t="str">
        <f>I3*(1.06^5)</f>
        <v>96.90091407</v>
      </c>
      <c r="J4" s="52" t="str">
        <f>(1.8^5)*J3</f>
        <v>0.1007282486</v>
      </c>
      <c r="K4" t="str">
        <f t="shared" ref="K4:K5" si="4">J4*I4</f>
        <v>9.760659361</v>
      </c>
      <c r="L4" t="str">
        <f>(1.16^5)*L3</f>
        <v>0.2720649816</v>
      </c>
      <c r="M4" t="str">
        <f t="shared" ref="M4:M5" si="5">L4*K4</f>
        <v>2.655533609</v>
      </c>
      <c r="O4" s="52">
        <v>2020.0</v>
      </c>
      <c r="P4" t="str">
        <f>P3*(1.015^5)</f>
        <v>78.00613472</v>
      </c>
      <c r="Q4" t="str">
        <f t="shared" ref="Q4:Q5" si="6">Q3</f>
        <v>0.005330755421</v>
      </c>
      <c r="R4" t="str">
        <f t="shared" ref="R4:R5" si="7">P4*Q4</f>
        <v>0.4158316255</v>
      </c>
      <c r="S4" t="str">
        <f>(0.9^5)*S3</f>
        <v>0.07648834197</v>
      </c>
      <c r="T4" t="str">
        <f t="shared" ref="T4:T5" si="8">S4*R4</f>
        <v>0.03180627157</v>
      </c>
    </row>
    <row r="5">
      <c r="A5" s="52">
        <v>2025.0</v>
      </c>
      <c r="B5" t="str">
        <f>B3*(1.036^10)</f>
        <v>103.1326321</v>
      </c>
      <c r="C5" t="str">
        <f>(1.21^10)*C3</f>
        <v>0.03586265682</v>
      </c>
      <c r="D5" t="str">
        <f t="shared" si="1"/>
        <v>3.698610191</v>
      </c>
      <c r="E5" t="str">
        <f t="shared" si="2"/>
        <v>0.4023119441</v>
      </c>
      <c r="F5" t="str">
        <f t="shared" si="3"/>
        <v>1.487995056</v>
      </c>
      <c r="H5" s="52">
        <v>2025.0</v>
      </c>
      <c r="I5" t="str">
        <f>(I3*(1.06)^10)</f>
        <v>129.6752817</v>
      </c>
      <c r="J5" t="str">
        <f>0.95</f>
        <v>0.95</v>
      </c>
      <c r="K5" t="str">
        <f t="shared" si="4"/>
        <v>123.1915176</v>
      </c>
      <c r="L5" t="str">
        <f>(1.16^10)*L3</f>
        <v>0.5714294143</v>
      </c>
      <c r="M5" t="str">
        <f t="shared" si="5"/>
        <v>70.39525677</v>
      </c>
      <c r="O5" s="52">
        <v>2025.0</v>
      </c>
      <c r="P5" t="str">
        <f>P3*(1.015^10)</f>
        <v>84.03476114</v>
      </c>
      <c r="Q5" t="str">
        <f t="shared" si="6"/>
        <v>0.005330755421</v>
      </c>
      <c r="R5" t="str">
        <f t="shared" si="7"/>
        <v>0.4479687585</v>
      </c>
      <c r="S5" t="str">
        <f>(0.9^10)*S3</f>
        <v>0.04516560105</v>
      </c>
      <c r="T5" t="str">
        <f t="shared" si="8"/>
        <v>0.02023277823</v>
      </c>
    </row>
    <row r="7">
      <c r="E7" s="52" t="s">
        <v>116</v>
      </c>
      <c r="F7" t="str">
        <f>(0.05)*(1.4039^10)</f>
        <v>1.487071138</v>
      </c>
      <c r="L7" s="52" t="s">
        <v>116</v>
      </c>
      <c r="M7" t="str">
        <f>(2.066^10)*0.05</f>
        <v>70.83912304</v>
      </c>
      <c r="S7" s="52" t="s">
        <v>116</v>
      </c>
      <c r="T7" t="str">
        <f>(0.9135^10)*0.05</f>
        <v>0.02023277823</v>
      </c>
    </row>
    <row r="12">
      <c r="A12" s="52" t="s">
        <v>117</v>
      </c>
      <c r="H12" s="52" t="s">
        <v>117</v>
      </c>
      <c r="N12" s="52" t="s">
        <v>117</v>
      </c>
    </row>
    <row r="13">
      <c r="I13" s="52" t="s">
        <v>118</v>
      </c>
    </row>
    <row r="14">
      <c r="I14" s="52" t="s">
        <v>119</v>
      </c>
    </row>
    <row r="15">
      <c r="I15" s="52" t="s">
        <v>120</v>
      </c>
    </row>
    <row r="17">
      <c r="A17" s="52" t="s">
        <v>121</v>
      </c>
      <c r="I17" s="52" t="s">
        <v>122</v>
      </c>
      <c r="O17" s="52" t="s">
        <v>123</v>
      </c>
    </row>
    <row r="18">
      <c r="A18" s="52" t="s">
        <v>124</v>
      </c>
      <c r="I18" s="52" t="s">
        <v>125</v>
      </c>
      <c r="O18" s="52" t="s">
        <v>126</v>
      </c>
    </row>
    <row r="19">
      <c r="A19" s="52" t="s">
        <v>127</v>
      </c>
      <c r="I19" s="52" t="s">
        <v>128</v>
      </c>
      <c r="O19" s="52" t="s">
        <v>129</v>
      </c>
    </row>
    <row r="21">
      <c r="A21" s="52" t="s">
        <v>130</v>
      </c>
      <c r="I21" s="52" t="s">
        <v>131</v>
      </c>
    </row>
    <row r="22">
      <c r="A22" s="52" t="s">
        <v>132</v>
      </c>
    </row>
    <row r="23">
      <c r="A23" t="str">
        <f>32/321</f>
        <v>0.09968847352</v>
      </c>
      <c r="I23" s="52" t="s">
        <v>133</v>
      </c>
    </row>
    <row r="24">
      <c r="A24" t="str">
        <f>50/386</f>
        <v>0.1295336788</v>
      </c>
      <c r="O24" s="52" t="s">
        <v>134</v>
      </c>
    </row>
    <row r="25">
      <c r="A25" t="str">
        <f>A24/A23</f>
        <v>1.299384715</v>
      </c>
    </row>
    <row r="26">
      <c r="A26" s="52" t="s">
        <v>135</v>
      </c>
    </row>
    <row r="27">
      <c r="A27" s="52" t="s">
        <v>136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21.57"/>
  </cols>
  <sheetData>
    <row r="1">
      <c r="A1" t="s">
        <v>137</v>
      </c>
      <c r="B1" s="52" t="s">
        <v>138</v>
      </c>
    </row>
    <row r="26">
      <c r="B26" s="52"/>
    </row>
  </sheetData>
  <drawing r:id="rId1"/>
</worksheet>
</file>