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2935" windowHeight="10485" firstSheet="1" activeTab="5"/>
  </bookViews>
  <sheets>
    <sheet name="Валютные изменения" sheetId="1" r:id="rId1"/>
    <sheet name="Учет расходов на приобр. краски" sheetId="2" r:id="rId2"/>
    <sheet name="Диаграммы" sheetId="3" r:id="rId3"/>
    <sheet name="Призывная комиссия" sheetId="4" r:id="rId4"/>
    <sheet name="Конфеты" sheetId="5" r:id="rId5"/>
    <sheet name="Повышенная сложность" sheetId="6" r:id="rId6"/>
  </sheets>
  <calcPr calcId="125725"/>
</workbook>
</file>

<file path=xl/calcChain.xml><?xml version="1.0" encoding="utf-8"?>
<calcChain xmlns="http://schemas.openxmlformats.org/spreadsheetml/2006/main">
  <c r="K2" i="6"/>
  <c r="C45" s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3"/>
  <c r="E45"/>
  <c r="E44"/>
  <c r="E43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2"/>
  <c r="D45"/>
  <c r="D44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2"/>
  <c r="D43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2"/>
  <c r="C44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2"/>
  <c r="C43"/>
  <c r="B45"/>
  <c r="A45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2"/>
  <c r="A44" a="1"/>
  <c r="A44" s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3"/>
  <c r="G2"/>
  <c r="B43" a="1"/>
  <c r="B43" s="1"/>
  <c r="A43"/>
  <c r="H3" i="4"/>
  <c r="H4"/>
  <c r="H5"/>
  <c r="H6"/>
  <c r="H7"/>
  <c r="H8"/>
  <c r="H9"/>
  <c r="H10"/>
  <c r="H11"/>
  <c r="H12"/>
  <c r="H13"/>
  <c r="H14"/>
  <c r="H15"/>
  <c r="H16"/>
  <c r="H2"/>
  <c r="G3"/>
  <c r="G4"/>
  <c r="G5"/>
  <c r="G6"/>
  <c r="G7"/>
  <c r="G8"/>
  <c r="G9"/>
  <c r="G10"/>
  <c r="G11"/>
  <c r="G12"/>
  <c r="G13"/>
  <c r="G14"/>
  <c r="G15"/>
  <c r="G16"/>
  <c r="G2"/>
  <c r="F3"/>
  <c r="F4"/>
  <c r="F5"/>
  <c r="F6"/>
  <c r="F7"/>
  <c r="F8"/>
  <c r="F9"/>
  <c r="F10"/>
  <c r="F11"/>
  <c r="F12"/>
  <c r="F13"/>
  <c r="F14"/>
  <c r="F15"/>
  <c r="F16"/>
  <c r="F2"/>
  <c r="E13"/>
  <c r="E14"/>
  <c r="E15"/>
  <c r="E16"/>
  <c r="E12"/>
  <c r="E4"/>
  <c r="E5"/>
  <c r="E6"/>
  <c r="E7"/>
  <c r="E8"/>
  <c r="E9"/>
  <c r="E10"/>
  <c r="E3"/>
  <c r="D38" i="5"/>
  <c r="D37"/>
  <c r="D36"/>
  <c r="D35"/>
  <c r="D34"/>
  <c r="D33"/>
  <c r="D32"/>
  <c r="F29"/>
  <c r="F28"/>
  <c r="F27"/>
  <c r="F26"/>
  <c r="F25"/>
  <c r="F24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"/>
  <c r="G43"/>
  <c r="G44"/>
  <c r="G45"/>
  <c r="G42"/>
  <c r="E43"/>
  <c r="E44"/>
  <c r="E45"/>
  <c r="E42"/>
  <c r="C38"/>
  <c r="C37"/>
  <c r="C36"/>
  <c r="C35"/>
  <c r="C34"/>
  <c r="C33"/>
  <c r="C32"/>
  <c r="E29"/>
  <c r="E28"/>
  <c r="E27"/>
  <c r="E26"/>
  <c r="E25"/>
  <c r="E24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"/>
  <c r="D10" i="3"/>
  <c r="C10"/>
  <c r="B10"/>
  <c r="B6" i="2"/>
  <c r="D3"/>
  <c r="D4"/>
  <c r="D5"/>
  <c r="D2"/>
  <c r="D6" i="1"/>
  <c r="D7"/>
  <c r="D5"/>
  <c r="D3"/>
  <c r="D4"/>
  <c r="D2"/>
  <c r="C6"/>
  <c r="C7"/>
  <c r="C5"/>
  <c r="C3"/>
  <c r="C4"/>
  <c r="C2"/>
  <c r="B7"/>
  <c r="B6"/>
  <c r="B3"/>
  <c r="B4"/>
  <c r="B44" i="6" l="1" a="1"/>
  <c r="B44" s="1"/>
</calcChain>
</file>

<file path=xl/sharedStrings.xml><?xml version="1.0" encoding="utf-8"?>
<sst xmlns="http://schemas.openxmlformats.org/spreadsheetml/2006/main" count="259" uniqueCount="119">
  <si>
    <t>Дата</t>
  </si>
  <si>
    <t>Курс USD</t>
  </si>
  <si>
    <t>Покупка USD</t>
  </si>
  <si>
    <t>Продажа USD</t>
  </si>
  <si>
    <t>Наименование</t>
  </si>
  <si>
    <t>Кол-во, бан.</t>
  </si>
  <si>
    <t>Общ. Стоим.</t>
  </si>
  <si>
    <t>Стоим. бан., руб.</t>
  </si>
  <si>
    <t>Эмаль белая</t>
  </si>
  <si>
    <t>Водоэмульсионная</t>
  </si>
  <si>
    <t>Меловая</t>
  </si>
  <si>
    <t>Эмаль голубая</t>
  </si>
  <si>
    <t>Суммарный расход</t>
  </si>
  <si>
    <t>Строка</t>
  </si>
  <si>
    <t>Столбец 1</t>
  </si>
  <si>
    <t>Столбец 2</t>
  </si>
  <si>
    <t>Столбец 3</t>
  </si>
  <si>
    <t>а</t>
  </si>
  <si>
    <t>б</t>
  </si>
  <si>
    <t>в</t>
  </si>
  <si>
    <t>г</t>
  </si>
  <si>
    <t>д</t>
  </si>
  <si>
    <t>е</t>
  </si>
  <si>
    <t>ж</t>
  </si>
  <si>
    <t>з</t>
  </si>
  <si>
    <t>∑</t>
  </si>
  <si>
    <t>№</t>
  </si>
  <si>
    <t>дата рожд.</t>
  </si>
  <si>
    <t>состав</t>
  </si>
  <si>
    <t>отсрочка</t>
  </si>
  <si>
    <t>на сегодня</t>
  </si>
  <si>
    <t>с 5 мая 2004</t>
  </si>
  <si>
    <t>с 5 октября 2004</t>
  </si>
  <si>
    <t>Агафонов С.Т.</t>
  </si>
  <si>
    <t>Ф.И.О.</t>
  </si>
  <si>
    <t>Большаков А.Н.</t>
  </si>
  <si>
    <t>Варенкин А.К.</t>
  </si>
  <si>
    <t>Вишер Д.Ю.</t>
  </si>
  <si>
    <t>Говорок П.С.</t>
  </si>
  <si>
    <t>Иванов В.Н.</t>
  </si>
  <si>
    <t>Кузнецов И.П.</t>
  </si>
  <si>
    <t>Ларионов А.Ф.</t>
  </si>
  <si>
    <t>Михелашвили Г.Э.</t>
  </si>
  <si>
    <t>Никоноров А.Л.</t>
  </si>
  <si>
    <t>Нуреш В.Г.</t>
  </si>
  <si>
    <t>Петров У.И.</t>
  </si>
  <si>
    <t>Романов П.А.</t>
  </si>
  <si>
    <t>Семенов А.К.</t>
  </si>
  <si>
    <t>Сидоров Р.С.</t>
  </si>
  <si>
    <t>рядовой</t>
  </si>
  <si>
    <t>Тип</t>
  </si>
  <si>
    <t>Название конфет</t>
  </si>
  <si>
    <t>Город</t>
  </si>
  <si>
    <t>Кол-во, тонн</t>
  </si>
  <si>
    <t>Цена за тонну, y.e.</t>
  </si>
  <si>
    <t>Руб. за тонну</t>
  </si>
  <si>
    <t>Ростов</t>
  </si>
  <si>
    <t>Самара</t>
  </si>
  <si>
    <t>Москва</t>
  </si>
  <si>
    <t>Санкт-Петербург</t>
  </si>
  <si>
    <t>Минск</t>
  </si>
  <si>
    <t>Киев</t>
  </si>
  <si>
    <t>Барбарис</t>
  </si>
  <si>
    <t>Россия</t>
  </si>
  <si>
    <t>Кис-Кис</t>
  </si>
  <si>
    <t>карамель</t>
  </si>
  <si>
    <t>шоколад</t>
  </si>
  <si>
    <t>ирис</t>
  </si>
  <si>
    <t>монпасье</t>
  </si>
  <si>
    <t>грильяж</t>
  </si>
  <si>
    <t>мармелад</t>
  </si>
  <si>
    <t>батончик</t>
  </si>
  <si>
    <t>зефир</t>
  </si>
  <si>
    <t>Конфети</t>
  </si>
  <si>
    <t>Восточный</t>
  </si>
  <si>
    <t>Лимонные дольки</t>
  </si>
  <si>
    <t>Буратино</t>
  </si>
  <si>
    <t>Спорт</t>
  </si>
  <si>
    <t>Дорожный</t>
  </si>
  <si>
    <t>Сливочный</t>
  </si>
  <si>
    <t>Клюбничка</t>
  </si>
  <si>
    <t>Лимончики</t>
  </si>
  <si>
    <t>Золотой ключик</t>
  </si>
  <si>
    <t>Крем-брюле</t>
  </si>
  <si>
    <t>Сказка</t>
  </si>
  <si>
    <t>Лимонный</t>
  </si>
  <si>
    <t>Воздушный</t>
  </si>
  <si>
    <t>Тройка</t>
  </si>
  <si>
    <t>Радуга</t>
  </si>
  <si>
    <t>Санкт-петербург</t>
  </si>
  <si>
    <t>Всего тонн</t>
  </si>
  <si>
    <t>Общая стоимость всей продукции, руб.</t>
  </si>
  <si>
    <t>Средняя цена за тонну, y.e.</t>
  </si>
  <si>
    <t>Цена, y.e.</t>
  </si>
  <si>
    <t>Цена с НДС 20%, y.e.</t>
  </si>
  <si>
    <t>НДС, 20%</t>
  </si>
  <si>
    <t>Рост</t>
  </si>
  <si>
    <t>Вес</t>
  </si>
  <si>
    <t>Возраст</t>
  </si>
  <si>
    <t>Цвет глаз</t>
  </si>
  <si>
    <t>Пол</t>
  </si>
  <si>
    <t>карий</t>
  </si>
  <si>
    <t>м</t>
  </si>
  <si>
    <t>серый</t>
  </si>
  <si>
    <t>голубой</t>
  </si>
  <si>
    <t>синий</t>
  </si>
  <si>
    <t>зеленый</t>
  </si>
  <si>
    <t>Сумма Р</t>
  </si>
  <si>
    <t>Сумма y.e</t>
  </si>
  <si>
    <t>Вес мужчин или 999999</t>
  </si>
  <si>
    <t>Рост женщин или 99999</t>
  </si>
  <si>
    <t>Рост/Вес</t>
  </si>
  <si>
    <t>IF голубоглазый мужчина</t>
  </si>
  <si>
    <t>Цвет глаз женщин</t>
  </si>
  <si>
    <t>старше 50 выше 170</t>
  </si>
  <si>
    <t>девушка моложе 25 выше 160</t>
  </si>
  <si>
    <t>Юноша от 14 до 27 карий</t>
  </si>
  <si>
    <t>Пожилой</t>
  </si>
  <si>
    <t>От 170 до 180 тяжелее 65</t>
  </si>
</sst>
</file>

<file path=xl/styles.xml><?xml version="1.0" encoding="utf-8"?>
<styleSheet xmlns="http://schemas.openxmlformats.org/spreadsheetml/2006/main">
  <numFmts count="3">
    <numFmt numFmtId="164" formatCode="#,##0.00&quot;р.&quot;"/>
    <numFmt numFmtId="165" formatCode="dd/mm/yy;@"/>
    <numFmt numFmtId="166" formatCode="#,##0.00_р_.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0" fillId="0" borderId="0" xfId="0" applyFill="1" applyBorder="1" applyAlignment="1">
      <alignment horizontal="center"/>
    </xf>
    <xf numFmtId="166" fontId="0" fillId="0" borderId="0" xfId="0" applyNumberFormat="1"/>
    <xf numFmtId="0" fontId="0" fillId="0" borderId="1" xfId="0" applyNumberFormat="1" applyBorder="1" applyAlignment="1">
      <alignment horizontal="center"/>
    </xf>
    <xf numFmtId="0" fontId="0" fillId="2" borderId="0" xfId="0" applyFill="1"/>
    <xf numFmtId="0" fontId="0" fillId="0" borderId="2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Диаграммы!$B$1</c:f>
              <c:strCache>
                <c:ptCount val="1"/>
                <c:pt idx="0">
                  <c:v>Столбец 1</c:v>
                </c:pt>
              </c:strCache>
            </c:strRef>
          </c:tx>
          <c:cat>
            <c:strRef>
              <c:f>Диаграммы!$A$2:$A$9</c:f>
              <c:strCache>
                <c:ptCount val="8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</c:strCache>
            </c:strRef>
          </c:cat>
          <c:val>
            <c:numRef>
              <c:f>Диаграммы!$B$2:$B$9</c:f>
              <c:numCache>
                <c:formatCode>General</c:formatCode>
                <c:ptCount val="8"/>
                <c:pt idx="0">
                  <c:v>12</c:v>
                </c:pt>
                <c:pt idx="1">
                  <c:v>25</c:v>
                </c:pt>
                <c:pt idx="2">
                  <c:v>37</c:v>
                </c:pt>
                <c:pt idx="3">
                  <c:v>50</c:v>
                </c:pt>
                <c:pt idx="4">
                  <c:v>35</c:v>
                </c:pt>
                <c:pt idx="5">
                  <c:v>28</c:v>
                </c:pt>
                <c:pt idx="6">
                  <c:v>11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Диаграммы!$C$1</c:f>
              <c:strCache>
                <c:ptCount val="1"/>
                <c:pt idx="0">
                  <c:v>Столбец 2</c:v>
                </c:pt>
              </c:strCache>
            </c:strRef>
          </c:tx>
          <c:cat>
            <c:strRef>
              <c:f>Диаграммы!$A$2:$A$9</c:f>
              <c:strCache>
                <c:ptCount val="8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</c:strCache>
            </c:strRef>
          </c:cat>
          <c:val>
            <c:numRef>
              <c:f>Диаграммы!$C$2:$C$9</c:f>
              <c:numCache>
                <c:formatCode>General</c:formatCode>
                <c:ptCount val="8"/>
                <c:pt idx="0">
                  <c:v>14</c:v>
                </c:pt>
                <c:pt idx="1">
                  <c:v>28</c:v>
                </c:pt>
                <c:pt idx="2">
                  <c:v>15</c:v>
                </c:pt>
                <c:pt idx="3">
                  <c:v>47</c:v>
                </c:pt>
                <c:pt idx="4">
                  <c:v>33</c:v>
                </c:pt>
                <c:pt idx="5">
                  <c:v>15</c:v>
                </c:pt>
                <c:pt idx="6">
                  <c:v>53</c:v>
                </c:pt>
                <c:pt idx="7">
                  <c:v>25</c:v>
                </c:pt>
              </c:numCache>
            </c:numRef>
          </c:val>
        </c:ser>
        <c:ser>
          <c:idx val="2"/>
          <c:order val="2"/>
          <c:tx>
            <c:strRef>
              <c:f>Диаграммы!$D$1</c:f>
              <c:strCache>
                <c:ptCount val="1"/>
                <c:pt idx="0">
                  <c:v>Столбец 3</c:v>
                </c:pt>
              </c:strCache>
            </c:strRef>
          </c:tx>
          <c:cat>
            <c:strRef>
              <c:f>Диаграммы!$A$2:$A$9</c:f>
              <c:strCache>
                <c:ptCount val="8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</c:strCache>
            </c:strRef>
          </c:cat>
          <c:val>
            <c:numRef>
              <c:f>Диаграммы!$D$2:$D$9</c:f>
              <c:numCache>
                <c:formatCode>General</c:formatCode>
                <c:ptCount val="8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</c:numCache>
            </c:numRef>
          </c:val>
        </c:ser>
        <c:marker val="1"/>
        <c:axId val="221000448"/>
        <c:axId val="221001984"/>
      </c:lineChart>
      <c:catAx>
        <c:axId val="221000448"/>
        <c:scaling>
          <c:orientation val="minMax"/>
        </c:scaling>
        <c:axPos val="b"/>
        <c:majorGridlines/>
        <c:tickLblPos val="nextTo"/>
        <c:crossAx val="221001984"/>
        <c:crosses val="autoZero"/>
        <c:auto val="1"/>
        <c:lblAlgn val="ctr"/>
        <c:lblOffset val="100"/>
      </c:catAx>
      <c:valAx>
        <c:axId val="221001984"/>
        <c:scaling>
          <c:orientation val="minMax"/>
        </c:scaling>
        <c:axPos val="l"/>
        <c:majorGridlines/>
        <c:numFmt formatCode="General" sourceLinked="1"/>
        <c:tickLblPos val="nextTo"/>
        <c:crossAx val="2210004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pieChart>
        <c:varyColors val="1"/>
        <c:ser>
          <c:idx val="0"/>
          <c:order val="0"/>
          <c:dLbls>
            <c:numFmt formatCode="0.00%" sourceLinked="0"/>
            <c:dLblPos val="ctr"/>
            <c:showPercent val="1"/>
            <c:showLeaderLines val="1"/>
          </c:dLbls>
          <c:cat>
            <c:strRef>
              <c:f>Диаграммы!$B$1:$D$1</c:f>
              <c:strCache>
                <c:ptCount val="3"/>
                <c:pt idx="0">
                  <c:v>Столбец 1</c:v>
                </c:pt>
                <c:pt idx="1">
                  <c:v>Столбец 2</c:v>
                </c:pt>
                <c:pt idx="2">
                  <c:v>Столбец 3</c:v>
                </c:pt>
              </c:strCache>
            </c:strRef>
          </c:cat>
          <c:val>
            <c:numRef>
              <c:f>Диаграммы!$B$10:$D$10</c:f>
              <c:numCache>
                <c:formatCode>General</c:formatCode>
                <c:ptCount val="3"/>
                <c:pt idx="0">
                  <c:v>201</c:v>
                </c:pt>
                <c:pt idx="1">
                  <c:v>230</c:v>
                </c:pt>
                <c:pt idx="2">
                  <c:v>180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view3D>
      <c:rAngAx val="1"/>
    </c:view3D>
    <c:floor>
      <c:spPr>
        <a:noFill/>
        <a:ln w="9525">
          <a:noFill/>
        </a:ln>
      </c:spPr>
    </c:floor>
    <c:sideWall>
      <c:spPr>
        <a:noFill/>
      </c:spPr>
    </c:sideWall>
    <c:backWall>
      <c:spPr>
        <a:noFill/>
        <a:ln w="25400">
          <a:noFill/>
        </a:ln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Диаграммы!$B$1</c:f>
              <c:strCache>
                <c:ptCount val="1"/>
                <c:pt idx="0">
                  <c:v>Столбец 1</c:v>
                </c:pt>
              </c:strCache>
            </c:strRef>
          </c:tx>
          <c:cat>
            <c:strRef>
              <c:f>Диаграммы!$A$2:$A$9</c:f>
              <c:strCache>
                <c:ptCount val="8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</c:strCache>
            </c:strRef>
          </c:cat>
          <c:val>
            <c:numRef>
              <c:f>Диаграммы!$B$2:$B$9</c:f>
              <c:numCache>
                <c:formatCode>General</c:formatCode>
                <c:ptCount val="8"/>
                <c:pt idx="0">
                  <c:v>12</c:v>
                </c:pt>
                <c:pt idx="1">
                  <c:v>25</c:v>
                </c:pt>
                <c:pt idx="2">
                  <c:v>37</c:v>
                </c:pt>
                <c:pt idx="3">
                  <c:v>50</c:v>
                </c:pt>
                <c:pt idx="4">
                  <c:v>35</c:v>
                </c:pt>
                <c:pt idx="5">
                  <c:v>28</c:v>
                </c:pt>
                <c:pt idx="6">
                  <c:v>11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Диаграммы!$C$1</c:f>
              <c:strCache>
                <c:ptCount val="1"/>
                <c:pt idx="0">
                  <c:v>Столбец 2</c:v>
                </c:pt>
              </c:strCache>
            </c:strRef>
          </c:tx>
          <c:cat>
            <c:strRef>
              <c:f>Диаграммы!$A$2:$A$9</c:f>
              <c:strCache>
                <c:ptCount val="8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</c:strCache>
            </c:strRef>
          </c:cat>
          <c:val>
            <c:numRef>
              <c:f>Диаграммы!$C$2:$C$9</c:f>
              <c:numCache>
                <c:formatCode>General</c:formatCode>
                <c:ptCount val="8"/>
                <c:pt idx="0">
                  <c:v>14</c:v>
                </c:pt>
                <c:pt idx="1">
                  <c:v>28</c:v>
                </c:pt>
                <c:pt idx="2">
                  <c:v>15</c:v>
                </c:pt>
                <c:pt idx="3">
                  <c:v>47</c:v>
                </c:pt>
                <c:pt idx="4">
                  <c:v>33</c:v>
                </c:pt>
                <c:pt idx="5">
                  <c:v>15</c:v>
                </c:pt>
                <c:pt idx="6">
                  <c:v>53</c:v>
                </c:pt>
                <c:pt idx="7">
                  <c:v>25</c:v>
                </c:pt>
              </c:numCache>
            </c:numRef>
          </c:val>
        </c:ser>
        <c:ser>
          <c:idx val="2"/>
          <c:order val="2"/>
          <c:tx>
            <c:strRef>
              <c:f>Диаграммы!$D$1</c:f>
              <c:strCache>
                <c:ptCount val="1"/>
                <c:pt idx="0">
                  <c:v>Столбец 3</c:v>
                </c:pt>
              </c:strCache>
            </c:strRef>
          </c:tx>
          <c:cat>
            <c:strRef>
              <c:f>Диаграммы!$A$2:$A$9</c:f>
              <c:strCache>
                <c:ptCount val="8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</c:strCache>
            </c:strRef>
          </c:cat>
          <c:val>
            <c:numRef>
              <c:f>Диаграммы!$D$2:$D$9</c:f>
              <c:numCache>
                <c:formatCode>General</c:formatCode>
                <c:ptCount val="8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  <c:pt idx="7">
                  <c:v>33</c:v>
                </c:pt>
              </c:numCache>
            </c:numRef>
          </c:val>
        </c:ser>
        <c:shape val="box"/>
        <c:axId val="221181824"/>
        <c:axId val="221183360"/>
        <c:axId val="0"/>
      </c:bar3DChart>
      <c:catAx>
        <c:axId val="221181824"/>
        <c:scaling>
          <c:orientation val="minMax"/>
        </c:scaling>
        <c:axPos val="b"/>
        <c:tickLblPos val="nextTo"/>
        <c:crossAx val="221183360"/>
        <c:crosses val="autoZero"/>
        <c:auto val="1"/>
        <c:lblAlgn val="ctr"/>
        <c:lblOffset val="100"/>
      </c:catAx>
      <c:valAx>
        <c:axId val="221183360"/>
        <c:scaling>
          <c:orientation val="minMax"/>
        </c:scaling>
        <c:axPos val="l"/>
        <c:majorGridlines/>
        <c:numFmt formatCode="General" sourceLinked="1"/>
        <c:tickLblPos val="nextTo"/>
        <c:crossAx val="221181824"/>
        <c:crosses val="autoZero"/>
        <c:crossBetween val="between"/>
      </c:valAx>
      <c:spPr>
        <a:ln w="25400">
          <a:noFill/>
        </a:ln>
      </c:spPr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19050</xdr:rowOff>
    </xdr:from>
    <xdr:to>
      <xdr:col>13</xdr:col>
      <xdr:colOff>123825</xdr:colOff>
      <xdr:row>16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17</xdr:row>
      <xdr:rowOff>76200</xdr:rowOff>
    </xdr:from>
    <xdr:to>
      <xdr:col>6</xdr:col>
      <xdr:colOff>47625</xdr:colOff>
      <xdr:row>33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219075</xdr:colOff>
      <xdr:row>18</xdr:row>
      <xdr:rowOff>66675</xdr:rowOff>
    </xdr:from>
    <xdr:to>
      <xdr:col>14</xdr:col>
      <xdr:colOff>523875</xdr:colOff>
      <xdr:row>32</xdr:row>
      <xdr:rowOff>142875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G13" sqref="G13"/>
    </sheetView>
  </sheetViews>
  <sheetFormatPr defaultRowHeight="15"/>
  <cols>
    <col min="1" max="1" width="15.28515625" customWidth="1"/>
    <col min="2" max="2" width="17.28515625" customWidth="1"/>
    <col min="3" max="3" width="17.7109375" customWidth="1"/>
    <col min="4" max="4" width="15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37660</v>
      </c>
      <c r="B2" s="4">
        <v>30.79</v>
      </c>
      <c r="C2" s="4">
        <f>B2-0.8%</f>
        <v>30.782</v>
      </c>
      <c r="D2" s="4">
        <f>B2+0.7%</f>
        <v>30.797000000000001</v>
      </c>
    </row>
    <row r="3" spans="1:4">
      <c r="A3" s="3">
        <v>37662</v>
      </c>
      <c r="B3" s="4">
        <f>B2+0.01</f>
        <v>30.8</v>
      </c>
      <c r="C3" s="4">
        <f t="shared" ref="C3:C4" si="0">B3-0.8%</f>
        <v>30.792000000000002</v>
      </c>
      <c r="D3" s="4">
        <f t="shared" ref="D3:D4" si="1">B3+0.7%</f>
        <v>30.807000000000002</v>
      </c>
    </row>
    <row r="4" spans="1:4">
      <c r="A4" s="3">
        <v>37664</v>
      </c>
      <c r="B4" s="4">
        <f>B3+0.02</f>
        <v>30.82</v>
      </c>
      <c r="C4" s="4">
        <f t="shared" si="0"/>
        <v>30.812000000000001</v>
      </c>
      <c r="D4" s="4">
        <f t="shared" si="1"/>
        <v>30.827000000000002</v>
      </c>
    </row>
    <row r="5" spans="1:4">
      <c r="A5" s="3">
        <v>37994</v>
      </c>
      <c r="B5" s="4">
        <v>28.49</v>
      </c>
      <c r="C5" s="4">
        <f>B5-0.7%</f>
        <v>28.482999999999997</v>
      </c>
      <c r="D5" s="4">
        <f>B5+0.8%</f>
        <v>28.497999999999998</v>
      </c>
    </row>
    <row r="6" spans="1:4">
      <c r="A6" s="3">
        <v>37996</v>
      </c>
      <c r="B6" s="4">
        <f>B5+0.08</f>
        <v>28.569999999999997</v>
      </c>
      <c r="C6" s="4">
        <f t="shared" ref="C6:C7" si="2">B6-0.7%</f>
        <v>28.562999999999995</v>
      </c>
      <c r="D6" s="4">
        <f t="shared" ref="D6:D7" si="3">B6+0.8%</f>
        <v>28.577999999999996</v>
      </c>
    </row>
    <row r="7" spans="1:4">
      <c r="A7" s="3">
        <v>37998</v>
      </c>
      <c r="B7" s="4">
        <f>B6-0.02</f>
        <v>28.549999999999997</v>
      </c>
      <c r="C7" s="4">
        <f t="shared" si="2"/>
        <v>28.542999999999996</v>
      </c>
      <c r="D7" s="4">
        <f t="shared" si="3"/>
        <v>28.557999999999996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0" sqref="D10"/>
    </sheetView>
  </sheetViews>
  <sheetFormatPr defaultRowHeight="15"/>
  <cols>
    <col min="1" max="1" width="25.42578125" customWidth="1"/>
    <col min="2" max="2" width="17.7109375" customWidth="1"/>
    <col min="3" max="3" width="20.5703125" customWidth="1"/>
    <col min="4" max="4" width="19" customWidth="1"/>
  </cols>
  <sheetData>
    <row r="1" spans="1:4">
      <c r="A1" s="2" t="s">
        <v>4</v>
      </c>
      <c r="B1" s="2" t="s">
        <v>5</v>
      </c>
      <c r="C1" s="2" t="s">
        <v>7</v>
      </c>
      <c r="D1" s="2" t="s">
        <v>6</v>
      </c>
    </row>
    <row r="2" spans="1:4">
      <c r="A2" s="5" t="s">
        <v>8</v>
      </c>
      <c r="B2" s="2">
        <v>2</v>
      </c>
      <c r="C2" s="6">
        <v>27.8</v>
      </c>
      <c r="D2" s="6">
        <f>C2*B2</f>
        <v>55.6</v>
      </c>
    </row>
    <row r="3" spans="1:4">
      <c r="A3" s="5" t="s">
        <v>9</v>
      </c>
      <c r="B3" s="2">
        <v>3</v>
      </c>
      <c r="C3" s="6">
        <v>16.3</v>
      </c>
      <c r="D3" s="6">
        <f t="shared" ref="D3:D5" si="0">C3*B3</f>
        <v>48.900000000000006</v>
      </c>
    </row>
    <row r="4" spans="1:4">
      <c r="A4" s="5" t="s">
        <v>10</v>
      </c>
      <c r="B4" s="2">
        <v>3</v>
      </c>
      <c r="C4" s="6">
        <v>14.1</v>
      </c>
      <c r="D4" s="6">
        <f t="shared" si="0"/>
        <v>42.3</v>
      </c>
    </row>
    <row r="5" spans="1:4">
      <c r="A5" s="5" t="s">
        <v>11</v>
      </c>
      <c r="B5" s="2">
        <v>2</v>
      </c>
      <c r="C5" s="6">
        <v>29.5</v>
      </c>
      <c r="D5" s="6">
        <f t="shared" si="0"/>
        <v>59</v>
      </c>
    </row>
    <row r="6" spans="1:4">
      <c r="A6" s="2" t="s">
        <v>12</v>
      </c>
      <c r="B6" s="19">
        <f>SUM(D2:D5)</f>
        <v>205.8</v>
      </c>
      <c r="C6" s="20"/>
      <c r="D6" s="20"/>
    </row>
  </sheetData>
  <mergeCells count="1"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34" sqref="C34"/>
    </sheetView>
  </sheetViews>
  <sheetFormatPr defaultRowHeight="15"/>
  <cols>
    <col min="2" max="2" width="17.28515625" customWidth="1"/>
    <col min="3" max="3" width="14.42578125" customWidth="1"/>
    <col min="4" max="4" width="16" customWidth="1"/>
  </cols>
  <sheetData>
    <row r="1" spans="1:4">
      <c r="A1" s="2" t="s">
        <v>13</v>
      </c>
      <c r="B1" s="2" t="s">
        <v>14</v>
      </c>
      <c r="C1" s="2" t="s">
        <v>15</v>
      </c>
      <c r="D1" s="2" t="s">
        <v>16</v>
      </c>
    </row>
    <row r="2" spans="1:4">
      <c r="A2" s="2" t="s">
        <v>17</v>
      </c>
      <c r="B2" s="2">
        <v>12</v>
      </c>
      <c r="C2" s="2">
        <v>14</v>
      </c>
      <c r="D2" s="2">
        <v>12</v>
      </c>
    </row>
    <row r="3" spans="1:4">
      <c r="A3" s="2" t="s">
        <v>18</v>
      </c>
      <c r="B3" s="2">
        <v>25</v>
      </c>
      <c r="C3" s="2">
        <v>28</v>
      </c>
      <c r="D3" s="2">
        <v>15</v>
      </c>
    </row>
    <row r="4" spans="1:4">
      <c r="A4" s="2" t="s">
        <v>19</v>
      </c>
      <c r="B4" s="2">
        <v>37</v>
      </c>
      <c r="C4" s="2">
        <v>15</v>
      </c>
      <c r="D4" s="2">
        <v>18</v>
      </c>
    </row>
    <row r="5" spans="1:4">
      <c r="A5" s="2" t="s">
        <v>20</v>
      </c>
      <c r="B5" s="2">
        <v>50</v>
      </c>
      <c r="C5" s="2">
        <v>47</v>
      </c>
      <c r="D5" s="2">
        <v>21</v>
      </c>
    </row>
    <row r="6" spans="1:4">
      <c r="A6" s="2" t="s">
        <v>21</v>
      </c>
      <c r="B6" s="2">
        <v>35</v>
      </c>
      <c r="C6" s="2">
        <v>33</v>
      </c>
      <c r="D6" s="2">
        <v>24</v>
      </c>
    </row>
    <row r="7" spans="1:4">
      <c r="A7" s="2" t="s">
        <v>22</v>
      </c>
      <c r="B7" s="2">
        <v>28</v>
      </c>
      <c r="C7" s="2">
        <v>15</v>
      </c>
      <c r="D7" s="2">
        <v>27</v>
      </c>
    </row>
    <row r="8" spans="1:4">
      <c r="A8" s="2" t="s">
        <v>23</v>
      </c>
      <c r="B8" s="2">
        <v>11</v>
      </c>
      <c r="C8" s="2">
        <v>53</v>
      </c>
      <c r="D8" s="2">
        <v>30</v>
      </c>
    </row>
    <row r="9" spans="1:4">
      <c r="A9" s="2" t="s">
        <v>24</v>
      </c>
      <c r="B9" s="2">
        <v>3</v>
      </c>
      <c r="C9" s="2">
        <v>25</v>
      </c>
      <c r="D9" s="2">
        <v>33</v>
      </c>
    </row>
    <row r="10" spans="1:4">
      <c r="A10" s="8" t="s">
        <v>25</v>
      </c>
      <c r="B10" s="2">
        <f>SUM(B2:B9)</f>
        <v>201</v>
      </c>
      <c r="C10" s="2">
        <f>SUM(C2:C9)</f>
        <v>230</v>
      </c>
      <c r="D10" s="2">
        <f>SUM(D2:D9)</f>
        <v>180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E3" sqref="E3"/>
    </sheetView>
  </sheetViews>
  <sheetFormatPr defaultRowHeight="15"/>
  <cols>
    <col min="2" max="2" width="19.5703125" customWidth="1"/>
    <col min="3" max="3" width="8.7109375" customWidth="1"/>
    <col min="4" max="4" width="12.42578125" customWidth="1"/>
    <col min="5" max="5" width="11.140625" customWidth="1"/>
    <col min="6" max="6" width="26.42578125" customWidth="1"/>
    <col min="7" max="7" width="28.140625" customWidth="1"/>
    <col min="8" max="8" width="27.85546875" customWidth="1"/>
  </cols>
  <sheetData>
    <row r="1" spans="1:10" ht="32.25" customHeight="1">
      <c r="A1" s="2" t="s">
        <v>26</v>
      </c>
      <c r="B1" s="5" t="s">
        <v>34</v>
      </c>
      <c r="C1" s="9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10">
      <c r="A2" s="5">
        <v>1</v>
      </c>
      <c r="B2" s="5" t="s">
        <v>33</v>
      </c>
      <c r="C2" s="10">
        <v>31472</v>
      </c>
      <c r="D2" s="2" t="s">
        <v>49</v>
      </c>
      <c r="E2" s="10">
        <v>38139</v>
      </c>
      <c r="F2" s="16" t="str">
        <f ca="1">IF(TODAY()&gt;=E2,"Подлежит призыву","Не подлежит призыву")</f>
        <v>Подлежит призыву</v>
      </c>
      <c r="G2" s="16" t="str">
        <f>IF(DATE(2004,5,5)&gt;=E2,"Подлежит призыву","Не подлежит призыву")</f>
        <v>Не подлежит призыву</v>
      </c>
      <c r="H2" s="16" t="str">
        <f>IF(DATE(2004,10,5)&gt;=E2,"Подлежит призыву","Не подлежит призыву")</f>
        <v>Подлежит призыву</v>
      </c>
      <c r="I2" s="1"/>
      <c r="J2" s="1"/>
    </row>
    <row r="3" spans="1:10">
      <c r="A3" s="5">
        <v>2</v>
      </c>
      <c r="B3" s="5" t="s">
        <v>35</v>
      </c>
      <c r="C3" s="10">
        <v>31080</v>
      </c>
      <c r="D3" s="2" t="s">
        <v>49</v>
      </c>
      <c r="E3" s="10">
        <f>DATE(YEAR(C3)+18,MONTH(C3),DAY(C3))</f>
        <v>37654</v>
      </c>
      <c r="F3" s="16" t="str">
        <f t="shared" ref="F3:F16" ca="1" si="0">IF(TODAY()&gt;=E3,"Подлежит призыву","Не подлежит призыву")</f>
        <v>Подлежит призыву</v>
      </c>
      <c r="G3" s="16" t="str">
        <f t="shared" ref="G3:G16" si="1">IF(DATE(2004,5,5)&gt;=E3,"Подлежит призыву","Не подлежит призыву")</f>
        <v>Подлежит призыву</v>
      </c>
      <c r="H3" s="16" t="str">
        <f t="shared" ref="H3:H16" si="2">IF(DATE(2004,10,5)&gt;=E3,"Подлежит призыву","Не подлежит призыву")</f>
        <v>Подлежит призыву</v>
      </c>
      <c r="I3" s="1"/>
      <c r="J3" s="1"/>
    </row>
    <row r="4" spans="1:10">
      <c r="A4" s="5">
        <v>3</v>
      </c>
      <c r="B4" s="5" t="s">
        <v>36</v>
      </c>
      <c r="C4" s="10">
        <v>31596</v>
      </c>
      <c r="D4" s="2" t="s">
        <v>49</v>
      </c>
      <c r="E4" s="10">
        <f t="shared" ref="E4:E10" si="3">DATE(YEAR(C4)+18,MONTH(C4),DAY(C4))</f>
        <v>38171</v>
      </c>
      <c r="F4" s="16" t="str">
        <f t="shared" ca="1" si="0"/>
        <v>Подлежит призыву</v>
      </c>
      <c r="G4" s="16" t="str">
        <f t="shared" si="1"/>
        <v>Не подлежит призыву</v>
      </c>
      <c r="H4" s="16" t="str">
        <f t="shared" si="2"/>
        <v>Подлежит призыву</v>
      </c>
      <c r="I4" s="1"/>
      <c r="J4" s="1"/>
    </row>
    <row r="5" spans="1:10">
      <c r="A5" s="5">
        <v>4</v>
      </c>
      <c r="B5" s="5" t="s">
        <v>37</v>
      </c>
      <c r="C5" s="10">
        <v>31750</v>
      </c>
      <c r="D5" s="2" t="s">
        <v>49</v>
      </c>
      <c r="E5" s="10">
        <f t="shared" si="3"/>
        <v>38325</v>
      </c>
      <c r="F5" s="16" t="str">
        <f t="shared" ca="1" si="0"/>
        <v>Подлежит призыву</v>
      </c>
      <c r="G5" s="16" t="str">
        <f t="shared" si="1"/>
        <v>Не подлежит призыву</v>
      </c>
      <c r="H5" s="16" t="str">
        <f t="shared" si="2"/>
        <v>Не подлежит призыву</v>
      </c>
      <c r="I5" s="1"/>
      <c r="J5" s="1"/>
    </row>
    <row r="6" spans="1:10">
      <c r="A6" s="5">
        <v>5</v>
      </c>
      <c r="B6" s="5" t="s">
        <v>38</v>
      </c>
      <c r="C6" s="10">
        <v>31841</v>
      </c>
      <c r="D6" s="2" t="s">
        <v>49</v>
      </c>
      <c r="E6" s="10">
        <f t="shared" si="3"/>
        <v>38416</v>
      </c>
      <c r="F6" s="16" t="str">
        <f t="shared" ca="1" si="0"/>
        <v>Подлежит призыву</v>
      </c>
      <c r="G6" s="16" t="str">
        <f t="shared" si="1"/>
        <v>Не подлежит призыву</v>
      </c>
      <c r="H6" s="16" t="str">
        <f t="shared" si="2"/>
        <v>Не подлежит призыву</v>
      </c>
      <c r="I6" s="1"/>
      <c r="J6" s="1"/>
    </row>
    <row r="7" spans="1:10">
      <c r="A7" s="5">
        <v>6</v>
      </c>
      <c r="B7" s="5" t="s">
        <v>39</v>
      </c>
      <c r="C7" s="10">
        <v>31112</v>
      </c>
      <c r="D7" s="2" t="s">
        <v>49</v>
      </c>
      <c r="E7" s="10">
        <f t="shared" si="3"/>
        <v>37686</v>
      </c>
      <c r="F7" s="16" t="str">
        <f t="shared" ca="1" si="0"/>
        <v>Подлежит призыву</v>
      </c>
      <c r="G7" s="16" t="str">
        <f t="shared" si="1"/>
        <v>Подлежит призыву</v>
      </c>
      <c r="H7" s="16" t="str">
        <f t="shared" si="2"/>
        <v>Подлежит призыву</v>
      </c>
      <c r="I7" s="1"/>
      <c r="J7" s="1"/>
    </row>
    <row r="8" spans="1:10">
      <c r="A8" s="5">
        <v>7</v>
      </c>
      <c r="B8" s="5" t="s">
        <v>40</v>
      </c>
      <c r="C8" s="10">
        <v>31478</v>
      </c>
      <c r="D8" s="2" t="s">
        <v>49</v>
      </c>
      <c r="E8" s="10">
        <f t="shared" si="3"/>
        <v>38053</v>
      </c>
      <c r="F8" s="16" t="str">
        <f t="shared" ca="1" si="0"/>
        <v>Подлежит призыву</v>
      </c>
      <c r="G8" s="16" t="str">
        <f t="shared" si="1"/>
        <v>Подлежит призыву</v>
      </c>
      <c r="H8" s="16" t="str">
        <f t="shared" si="2"/>
        <v>Подлежит призыву</v>
      </c>
      <c r="I8" s="1"/>
      <c r="J8" s="1"/>
    </row>
    <row r="9" spans="1:10">
      <c r="A9" s="5">
        <v>8</v>
      </c>
      <c r="B9" s="5" t="s">
        <v>41</v>
      </c>
      <c r="C9" s="10">
        <v>31537</v>
      </c>
      <c r="D9" s="2" t="s">
        <v>49</v>
      </c>
      <c r="E9" s="10">
        <f t="shared" si="3"/>
        <v>38112</v>
      </c>
      <c r="F9" s="16" t="str">
        <f t="shared" ca="1" si="0"/>
        <v>Подлежит призыву</v>
      </c>
      <c r="G9" s="16" t="str">
        <f t="shared" si="1"/>
        <v>Подлежит призыву</v>
      </c>
      <c r="H9" s="16" t="str">
        <f t="shared" si="2"/>
        <v>Подлежит призыву</v>
      </c>
      <c r="I9" s="1"/>
      <c r="J9" s="1"/>
    </row>
    <row r="10" spans="1:10">
      <c r="A10" s="5">
        <v>9</v>
      </c>
      <c r="B10" s="5" t="s">
        <v>42</v>
      </c>
      <c r="C10" s="10">
        <v>31480</v>
      </c>
      <c r="D10" s="2" t="s">
        <v>49</v>
      </c>
      <c r="E10" s="10">
        <f t="shared" si="3"/>
        <v>38055</v>
      </c>
      <c r="F10" s="16" t="str">
        <f t="shared" ca="1" si="0"/>
        <v>Подлежит призыву</v>
      </c>
      <c r="G10" s="16" t="str">
        <f t="shared" si="1"/>
        <v>Подлежит призыву</v>
      </c>
      <c r="H10" s="16" t="str">
        <f t="shared" si="2"/>
        <v>Подлежит призыву</v>
      </c>
      <c r="I10" s="1"/>
      <c r="J10" s="1"/>
    </row>
    <row r="11" spans="1:10">
      <c r="A11" s="5">
        <v>10</v>
      </c>
      <c r="B11" s="5" t="s">
        <v>43</v>
      </c>
      <c r="C11" s="10">
        <v>31116</v>
      </c>
      <c r="D11" s="2" t="s">
        <v>49</v>
      </c>
      <c r="E11" s="10">
        <v>38596</v>
      </c>
      <c r="F11" s="16" t="str">
        <f t="shared" ca="1" si="0"/>
        <v>Подлежит призыву</v>
      </c>
      <c r="G11" s="16" t="str">
        <f t="shared" si="1"/>
        <v>Не подлежит призыву</v>
      </c>
      <c r="H11" s="16" t="str">
        <f t="shared" si="2"/>
        <v>Не подлежит призыву</v>
      </c>
      <c r="I11" s="1"/>
      <c r="J11" s="1"/>
    </row>
    <row r="12" spans="1:10">
      <c r="A12" s="5">
        <v>11</v>
      </c>
      <c r="B12" s="5" t="s">
        <v>44</v>
      </c>
      <c r="C12" s="10">
        <v>31727</v>
      </c>
      <c r="D12" s="2" t="s">
        <v>49</v>
      </c>
      <c r="E12" s="10">
        <f>DATE(YEAR(C11)+18,MONTH(C11),DAY(C11))</f>
        <v>37690</v>
      </c>
      <c r="F12" s="16" t="str">
        <f t="shared" ca="1" si="0"/>
        <v>Подлежит призыву</v>
      </c>
      <c r="G12" s="16" t="str">
        <f t="shared" si="1"/>
        <v>Подлежит призыву</v>
      </c>
      <c r="H12" s="16" t="str">
        <f t="shared" si="2"/>
        <v>Подлежит призыву</v>
      </c>
      <c r="I12" s="1"/>
      <c r="J12" s="1"/>
    </row>
    <row r="13" spans="1:10">
      <c r="A13" s="5">
        <v>12</v>
      </c>
      <c r="B13" s="5" t="s">
        <v>45</v>
      </c>
      <c r="C13" s="10">
        <v>31483</v>
      </c>
      <c r="D13" s="2" t="s">
        <v>49</v>
      </c>
      <c r="E13" s="10">
        <f t="shared" ref="E13:E16" si="4">DATE(YEAR(C12)+18,MONTH(C12),DAY(C12))</f>
        <v>38302</v>
      </c>
      <c r="F13" s="16" t="str">
        <f t="shared" ca="1" si="0"/>
        <v>Подлежит призыву</v>
      </c>
      <c r="G13" s="16" t="str">
        <f t="shared" si="1"/>
        <v>Не подлежит призыву</v>
      </c>
      <c r="H13" s="16" t="str">
        <f t="shared" si="2"/>
        <v>Не подлежит призыву</v>
      </c>
      <c r="I13" s="1"/>
      <c r="J13" s="1"/>
    </row>
    <row r="14" spans="1:10">
      <c r="A14" s="5">
        <v>13</v>
      </c>
      <c r="B14" s="5" t="s">
        <v>46</v>
      </c>
      <c r="C14" s="10">
        <v>31538</v>
      </c>
      <c r="D14" s="2" t="s">
        <v>49</v>
      </c>
      <c r="E14" s="10">
        <f t="shared" si="4"/>
        <v>38058</v>
      </c>
      <c r="F14" s="16" t="str">
        <f t="shared" ca="1" si="0"/>
        <v>Подлежит призыву</v>
      </c>
      <c r="G14" s="16" t="str">
        <f t="shared" si="1"/>
        <v>Подлежит призыву</v>
      </c>
      <c r="H14" s="16" t="str">
        <f t="shared" si="2"/>
        <v>Подлежит призыву</v>
      </c>
      <c r="I14" s="1"/>
      <c r="J14" s="1"/>
    </row>
    <row r="15" spans="1:10">
      <c r="A15" s="5">
        <v>14</v>
      </c>
      <c r="B15" s="5" t="s">
        <v>47</v>
      </c>
      <c r="C15" s="10">
        <v>31638</v>
      </c>
      <c r="D15" s="2" t="s">
        <v>49</v>
      </c>
      <c r="E15" s="10">
        <f t="shared" si="4"/>
        <v>38113</v>
      </c>
      <c r="F15" s="16" t="str">
        <f t="shared" ca="1" si="0"/>
        <v>Подлежит призыву</v>
      </c>
      <c r="G15" s="16" t="str">
        <f t="shared" si="1"/>
        <v>Не подлежит призыву</v>
      </c>
      <c r="H15" s="16" t="str">
        <f t="shared" si="2"/>
        <v>Подлежит призыву</v>
      </c>
      <c r="I15" s="1"/>
      <c r="J15" s="1"/>
    </row>
    <row r="16" spans="1:10">
      <c r="A16" s="5">
        <v>15</v>
      </c>
      <c r="B16" s="5" t="s">
        <v>48</v>
      </c>
      <c r="C16" s="10">
        <v>31700</v>
      </c>
      <c r="D16" s="2" t="s">
        <v>49</v>
      </c>
      <c r="E16" s="10">
        <f t="shared" si="4"/>
        <v>38213</v>
      </c>
      <c r="F16" s="16" t="str">
        <f t="shared" ca="1" si="0"/>
        <v>Подлежит призыву</v>
      </c>
      <c r="G16" s="16" t="str">
        <f t="shared" si="1"/>
        <v>Не подлежит призыву</v>
      </c>
      <c r="H16" s="16" t="str">
        <f t="shared" si="2"/>
        <v>Подлежит призыву</v>
      </c>
      <c r="I16" s="1"/>
      <c r="J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activeCell="F28" sqref="F28:G28"/>
    </sheetView>
  </sheetViews>
  <sheetFormatPr defaultRowHeight="15"/>
  <cols>
    <col min="1" max="1" width="4.42578125" customWidth="1"/>
    <col min="2" max="2" width="12.7109375" customWidth="1"/>
    <col min="3" max="3" width="21.85546875" customWidth="1"/>
    <col min="4" max="4" width="26.28515625" customWidth="1"/>
    <col min="5" max="5" width="17.28515625" customWidth="1"/>
    <col min="6" max="6" width="18.5703125" customWidth="1"/>
    <col min="7" max="7" width="18.140625" customWidth="1"/>
    <col min="9" max="9" width="12.140625" customWidth="1"/>
    <col min="10" max="10" width="14.42578125" customWidth="1"/>
  </cols>
  <sheetData>
    <row r="1" spans="1:10">
      <c r="A1" s="7"/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I1" s="14" t="s">
        <v>107</v>
      </c>
      <c r="J1" s="14" t="s">
        <v>108</v>
      </c>
    </row>
    <row r="2" spans="1:10">
      <c r="A2" s="5">
        <v>1</v>
      </c>
      <c r="B2" s="5" t="s">
        <v>65</v>
      </c>
      <c r="C2" s="5" t="s">
        <v>62</v>
      </c>
      <c r="D2" s="5" t="s">
        <v>56</v>
      </c>
      <c r="E2" s="7">
        <v>15</v>
      </c>
      <c r="F2" s="12">
        <v>1899.4</v>
      </c>
      <c r="G2" s="13">
        <f>F2*28.49</f>
        <v>54113.906000000003</v>
      </c>
      <c r="I2" s="15">
        <f>E2*F2</f>
        <v>28491</v>
      </c>
      <c r="J2" s="15">
        <f>E2*G2</f>
        <v>811708.59000000008</v>
      </c>
    </row>
    <row r="3" spans="1:10">
      <c r="A3" s="5">
        <v>2</v>
      </c>
      <c r="B3" s="5" t="s">
        <v>66</v>
      </c>
      <c r="C3" s="5" t="s">
        <v>63</v>
      </c>
      <c r="D3" s="5" t="s">
        <v>57</v>
      </c>
      <c r="E3" s="7">
        <v>25</v>
      </c>
      <c r="F3" s="12">
        <v>3517.41</v>
      </c>
      <c r="G3" s="13">
        <f t="shared" ref="G3:G21" si="0">F3*28.49</f>
        <v>100211.01089999999</v>
      </c>
      <c r="I3" s="15">
        <f t="shared" ref="I3:I21" si="1">E3*F3</f>
        <v>87935.25</v>
      </c>
      <c r="J3" s="15">
        <f t="shared" ref="J3:J21" si="2">E3*G3</f>
        <v>2505275.2725</v>
      </c>
    </row>
    <row r="4" spans="1:10">
      <c r="A4" s="5">
        <v>3</v>
      </c>
      <c r="B4" s="5" t="s">
        <v>67</v>
      </c>
      <c r="C4" s="5" t="s">
        <v>64</v>
      </c>
      <c r="D4" s="5" t="s">
        <v>58</v>
      </c>
      <c r="E4" s="7">
        <v>34</v>
      </c>
      <c r="F4" s="12">
        <v>2110.4499999999998</v>
      </c>
      <c r="G4" s="13">
        <f t="shared" si="0"/>
        <v>60126.720499999989</v>
      </c>
      <c r="I4" s="15">
        <f t="shared" si="1"/>
        <v>71755.299999999988</v>
      </c>
      <c r="J4" s="15">
        <f t="shared" si="2"/>
        <v>2044308.4969999995</v>
      </c>
    </row>
    <row r="5" spans="1:10">
      <c r="A5" s="5">
        <v>4</v>
      </c>
      <c r="B5" s="5" t="s">
        <v>68</v>
      </c>
      <c r="C5" s="5" t="s">
        <v>73</v>
      </c>
      <c r="D5" s="5" t="s">
        <v>58</v>
      </c>
      <c r="E5" s="7">
        <v>52</v>
      </c>
      <c r="F5" s="12">
        <v>1688.36</v>
      </c>
      <c r="G5" s="13">
        <f t="shared" si="0"/>
        <v>48101.376399999994</v>
      </c>
      <c r="I5" s="15">
        <f t="shared" si="1"/>
        <v>87794.72</v>
      </c>
      <c r="J5" s="15">
        <f t="shared" si="2"/>
        <v>2501271.5727999997</v>
      </c>
    </row>
    <row r="6" spans="1:10">
      <c r="A6" s="5">
        <v>5</v>
      </c>
      <c r="B6" s="5" t="s">
        <v>69</v>
      </c>
      <c r="C6" s="5" t="s">
        <v>74</v>
      </c>
      <c r="D6" s="5" t="s">
        <v>59</v>
      </c>
      <c r="E6" s="7">
        <v>13</v>
      </c>
      <c r="F6" s="12">
        <v>3271.19</v>
      </c>
      <c r="G6" s="13">
        <f t="shared" si="0"/>
        <v>93196.203099999999</v>
      </c>
      <c r="I6" s="15">
        <f t="shared" si="1"/>
        <v>42525.47</v>
      </c>
      <c r="J6" s="15">
        <f t="shared" si="2"/>
        <v>1211550.6403000001</v>
      </c>
    </row>
    <row r="7" spans="1:10">
      <c r="A7" s="5">
        <v>6</v>
      </c>
      <c r="B7" s="5" t="s">
        <v>70</v>
      </c>
      <c r="C7" s="5" t="s">
        <v>75</v>
      </c>
      <c r="D7" s="5" t="s">
        <v>59</v>
      </c>
      <c r="E7" s="7">
        <v>42</v>
      </c>
      <c r="F7" s="12">
        <v>1934.58</v>
      </c>
      <c r="G7" s="13">
        <f t="shared" si="0"/>
        <v>55116.184199999996</v>
      </c>
      <c r="I7" s="15">
        <f t="shared" si="1"/>
        <v>81252.36</v>
      </c>
      <c r="J7" s="15">
        <f t="shared" si="2"/>
        <v>2314879.7363999998</v>
      </c>
    </row>
    <row r="8" spans="1:10">
      <c r="A8" s="5">
        <v>7</v>
      </c>
      <c r="B8" s="5" t="s">
        <v>71</v>
      </c>
      <c r="C8" s="5" t="s">
        <v>76</v>
      </c>
      <c r="D8" s="5" t="s">
        <v>60</v>
      </c>
      <c r="E8" s="7">
        <v>16</v>
      </c>
      <c r="F8" s="12">
        <v>1055.22</v>
      </c>
      <c r="G8" s="13">
        <f t="shared" si="0"/>
        <v>30063.217799999999</v>
      </c>
      <c r="I8" s="15">
        <f t="shared" si="1"/>
        <v>16883.52</v>
      </c>
      <c r="J8" s="15">
        <f t="shared" si="2"/>
        <v>481011.48479999998</v>
      </c>
    </row>
    <row r="9" spans="1:10">
      <c r="A9" s="5">
        <v>8</v>
      </c>
      <c r="B9" s="5" t="s">
        <v>65</v>
      </c>
      <c r="C9" s="5" t="s">
        <v>77</v>
      </c>
      <c r="D9" s="5" t="s">
        <v>56</v>
      </c>
      <c r="E9" s="7">
        <v>32</v>
      </c>
      <c r="F9" s="12">
        <v>1618.01</v>
      </c>
      <c r="G9" s="13">
        <f t="shared" si="0"/>
        <v>46097.104899999998</v>
      </c>
      <c r="I9" s="15">
        <f t="shared" si="1"/>
        <v>51776.32</v>
      </c>
      <c r="J9" s="15">
        <f t="shared" si="2"/>
        <v>1475107.3568</v>
      </c>
    </row>
    <row r="10" spans="1:10">
      <c r="A10" s="5">
        <v>9</v>
      </c>
      <c r="B10" s="5" t="s">
        <v>67</v>
      </c>
      <c r="C10" s="5" t="s">
        <v>78</v>
      </c>
      <c r="D10" s="5" t="s">
        <v>61</v>
      </c>
      <c r="E10" s="7">
        <v>31</v>
      </c>
      <c r="F10" s="12">
        <v>1829.05</v>
      </c>
      <c r="G10" s="13">
        <f t="shared" si="0"/>
        <v>52109.634499999993</v>
      </c>
      <c r="I10" s="15">
        <f t="shared" si="1"/>
        <v>56700.549999999996</v>
      </c>
      <c r="J10" s="15">
        <f t="shared" si="2"/>
        <v>1615398.6694999998</v>
      </c>
    </row>
    <row r="11" spans="1:10">
      <c r="A11" s="5">
        <v>10</v>
      </c>
      <c r="B11" s="5" t="s">
        <v>71</v>
      </c>
      <c r="C11" s="5" t="s">
        <v>79</v>
      </c>
      <c r="D11" s="5" t="s">
        <v>57</v>
      </c>
      <c r="E11" s="7">
        <v>44</v>
      </c>
      <c r="F11" s="12">
        <v>1231.0899999999999</v>
      </c>
      <c r="G11" s="13">
        <f t="shared" si="0"/>
        <v>35073.754099999998</v>
      </c>
      <c r="I11" s="15">
        <f t="shared" si="1"/>
        <v>54167.96</v>
      </c>
      <c r="J11" s="15">
        <f t="shared" si="2"/>
        <v>1543245.1804</v>
      </c>
    </row>
    <row r="12" spans="1:10">
      <c r="A12" s="5">
        <v>11</v>
      </c>
      <c r="B12" s="5" t="s">
        <v>70</v>
      </c>
      <c r="C12" s="5" t="s">
        <v>80</v>
      </c>
      <c r="D12" s="5" t="s">
        <v>56</v>
      </c>
      <c r="E12" s="7">
        <v>24</v>
      </c>
      <c r="F12" s="12">
        <v>1793.88</v>
      </c>
      <c r="G12" s="13">
        <f t="shared" si="0"/>
        <v>51107.641199999998</v>
      </c>
      <c r="I12" s="15">
        <f t="shared" si="1"/>
        <v>43053.120000000003</v>
      </c>
      <c r="J12" s="15">
        <f t="shared" si="2"/>
        <v>1226583.3887999998</v>
      </c>
    </row>
    <row r="13" spans="1:10">
      <c r="A13" s="5">
        <v>12</v>
      </c>
      <c r="B13" s="5" t="s">
        <v>65</v>
      </c>
      <c r="C13" s="5" t="s">
        <v>81</v>
      </c>
      <c r="D13" s="5" t="s">
        <v>58</v>
      </c>
      <c r="E13" s="7">
        <v>16</v>
      </c>
      <c r="F13" s="12">
        <v>1618.01</v>
      </c>
      <c r="G13" s="13">
        <f t="shared" si="0"/>
        <v>46097.104899999998</v>
      </c>
      <c r="I13" s="15">
        <f t="shared" si="1"/>
        <v>25888.16</v>
      </c>
      <c r="J13" s="15">
        <f t="shared" si="2"/>
        <v>737553.67839999998</v>
      </c>
    </row>
    <row r="14" spans="1:10">
      <c r="A14" s="5">
        <v>13</v>
      </c>
      <c r="B14" s="5" t="s">
        <v>67</v>
      </c>
      <c r="C14" s="5" t="s">
        <v>82</v>
      </c>
      <c r="D14" s="5" t="s">
        <v>58</v>
      </c>
      <c r="E14" s="7">
        <v>19</v>
      </c>
      <c r="F14" s="12">
        <v>1723.53</v>
      </c>
      <c r="G14" s="13">
        <f t="shared" si="0"/>
        <v>49103.369699999996</v>
      </c>
      <c r="I14" s="15">
        <f t="shared" si="1"/>
        <v>32747.07</v>
      </c>
      <c r="J14" s="15">
        <f t="shared" si="2"/>
        <v>932964.02429999993</v>
      </c>
    </row>
    <row r="15" spans="1:10">
      <c r="A15" s="5">
        <v>14</v>
      </c>
      <c r="B15" s="5" t="s">
        <v>72</v>
      </c>
      <c r="C15" s="5" t="s">
        <v>83</v>
      </c>
      <c r="D15" s="5" t="s">
        <v>59</v>
      </c>
      <c r="E15" s="7">
        <v>32</v>
      </c>
      <c r="F15" s="12">
        <v>2427.0100000000002</v>
      </c>
      <c r="G15" s="13">
        <f t="shared" si="0"/>
        <v>69145.514900000009</v>
      </c>
      <c r="I15" s="15">
        <f t="shared" si="1"/>
        <v>77664.320000000007</v>
      </c>
      <c r="J15" s="15">
        <f t="shared" si="2"/>
        <v>2212656.4768000003</v>
      </c>
    </row>
    <row r="16" spans="1:10">
      <c r="A16" s="5">
        <v>15</v>
      </c>
      <c r="B16" s="5" t="s">
        <v>66</v>
      </c>
      <c r="C16" s="5" t="s">
        <v>84</v>
      </c>
      <c r="D16" s="5" t="s">
        <v>57</v>
      </c>
      <c r="E16" s="7">
        <v>42</v>
      </c>
      <c r="F16" s="12">
        <v>3622.93</v>
      </c>
      <c r="G16" s="13">
        <f t="shared" si="0"/>
        <v>103217.27569999998</v>
      </c>
      <c r="I16" s="15">
        <f t="shared" si="1"/>
        <v>152163.06</v>
      </c>
      <c r="J16" s="15">
        <f t="shared" si="2"/>
        <v>4335125.5793999992</v>
      </c>
    </row>
    <row r="17" spans="1:10">
      <c r="A17" s="5">
        <v>16</v>
      </c>
      <c r="B17" s="5" t="s">
        <v>72</v>
      </c>
      <c r="C17" s="5" t="s">
        <v>85</v>
      </c>
      <c r="D17" s="5" t="s">
        <v>59</v>
      </c>
      <c r="E17" s="7">
        <v>14</v>
      </c>
      <c r="F17" s="12">
        <v>2356.67</v>
      </c>
      <c r="G17" s="13">
        <f t="shared" si="0"/>
        <v>67141.528300000005</v>
      </c>
      <c r="I17" s="15">
        <f t="shared" si="1"/>
        <v>32993.380000000005</v>
      </c>
      <c r="J17" s="15">
        <f t="shared" si="2"/>
        <v>939981.39620000008</v>
      </c>
    </row>
    <row r="18" spans="1:10">
      <c r="A18" s="5">
        <v>17</v>
      </c>
      <c r="B18" s="5" t="s">
        <v>72</v>
      </c>
      <c r="C18" s="5" t="s">
        <v>86</v>
      </c>
      <c r="D18" s="5" t="s">
        <v>59</v>
      </c>
      <c r="E18" s="7">
        <v>14</v>
      </c>
      <c r="F18" s="12">
        <v>2391.67</v>
      </c>
      <c r="G18" s="13">
        <f t="shared" si="0"/>
        <v>68138.6783</v>
      </c>
      <c r="I18" s="15">
        <f t="shared" si="1"/>
        <v>33483.380000000005</v>
      </c>
      <c r="J18" s="15">
        <f t="shared" si="2"/>
        <v>953941.49619999994</v>
      </c>
    </row>
    <row r="19" spans="1:10">
      <c r="A19" s="5">
        <v>18</v>
      </c>
      <c r="B19" s="5" t="s">
        <v>67</v>
      </c>
      <c r="C19" s="5" t="s">
        <v>79</v>
      </c>
      <c r="D19" s="5" t="s">
        <v>60</v>
      </c>
      <c r="E19" s="7">
        <v>22</v>
      </c>
      <c r="F19" s="12">
        <v>2391.84</v>
      </c>
      <c r="G19" s="13">
        <f t="shared" si="0"/>
        <v>68143.521600000007</v>
      </c>
      <c r="I19" s="15">
        <f t="shared" si="1"/>
        <v>52620.480000000003</v>
      </c>
      <c r="J19" s="15">
        <f t="shared" si="2"/>
        <v>1499157.4752000002</v>
      </c>
    </row>
    <row r="20" spans="1:10">
      <c r="A20" s="5">
        <v>19</v>
      </c>
      <c r="B20" s="5" t="s">
        <v>66</v>
      </c>
      <c r="C20" s="5" t="s">
        <v>87</v>
      </c>
      <c r="D20" s="5" t="s">
        <v>57</v>
      </c>
      <c r="E20" s="7">
        <v>33</v>
      </c>
      <c r="F20" s="12">
        <v>1055.22</v>
      </c>
      <c r="G20" s="13">
        <f t="shared" si="0"/>
        <v>30063.217799999999</v>
      </c>
      <c r="I20" s="15">
        <f t="shared" si="1"/>
        <v>34822.26</v>
      </c>
      <c r="J20" s="15">
        <f t="shared" si="2"/>
        <v>992086.18739999994</v>
      </c>
    </row>
    <row r="21" spans="1:10">
      <c r="A21" s="5">
        <v>20</v>
      </c>
      <c r="B21" s="5" t="s">
        <v>65</v>
      </c>
      <c r="C21" s="5" t="s">
        <v>88</v>
      </c>
      <c r="D21" s="5" t="s">
        <v>58</v>
      </c>
      <c r="E21" s="7">
        <v>31</v>
      </c>
      <c r="F21" s="12">
        <v>3869.15</v>
      </c>
      <c r="G21" s="13">
        <f t="shared" si="0"/>
        <v>110232.08349999999</v>
      </c>
      <c r="I21" s="15">
        <f t="shared" si="1"/>
        <v>119943.65000000001</v>
      </c>
      <c r="J21" s="15">
        <f t="shared" si="2"/>
        <v>3417194.5884999996</v>
      </c>
    </row>
    <row r="23" spans="1:10">
      <c r="E23" s="1" t="s">
        <v>90</v>
      </c>
      <c r="F23" s="21" t="s">
        <v>91</v>
      </c>
      <c r="G23" s="21"/>
    </row>
    <row r="24" spans="1:10">
      <c r="C24">
        <v>1</v>
      </c>
      <c r="D24" s="5" t="s">
        <v>58</v>
      </c>
      <c r="E24" s="7">
        <f>SUMIF(D2:D21,"Москва",E2:E21)</f>
        <v>152</v>
      </c>
      <c r="F24" s="20">
        <f>SUMIF(D2:D21,"Москва",I2:I21)</f>
        <v>338128.9</v>
      </c>
      <c r="G24" s="20"/>
    </row>
    <row r="25" spans="1:10">
      <c r="C25">
        <v>2</v>
      </c>
      <c r="D25" s="5" t="s">
        <v>89</v>
      </c>
      <c r="E25" s="7">
        <f>SUMIF(D2:D21,"Санкт-Петербург",E2:E21)</f>
        <v>115</v>
      </c>
      <c r="F25" s="20">
        <f>SUMIF(D2:D21,"Санкт-Петербург",I2:I21)</f>
        <v>267918.91000000003</v>
      </c>
      <c r="G25" s="20"/>
    </row>
    <row r="26" spans="1:10">
      <c r="C26">
        <v>3</v>
      </c>
      <c r="D26" s="5" t="s">
        <v>57</v>
      </c>
      <c r="E26" s="7">
        <f>SUMIF(D2:D21,"Самара",E2:E21)</f>
        <v>144</v>
      </c>
      <c r="F26" s="20">
        <f>SUMIF(D2:D21,"Самара",I2:I21)</f>
        <v>329088.53000000003</v>
      </c>
      <c r="G26" s="20"/>
    </row>
    <row r="27" spans="1:10">
      <c r="C27">
        <v>4</v>
      </c>
      <c r="D27" s="5" t="s">
        <v>56</v>
      </c>
      <c r="E27" s="7">
        <f>SUMIF(D2:D21,"Ростов",E2:E21)</f>
        <v>71</v>
      </c>
      <c r="F27" s="20">
        <f>SUMIF(D2:D21,"Ростов",I2:I21)</f>
        <v>123320.44</v>
      </c>
      <c r="G27" s="20"/>
    </row>
    <row r="28" spans="1:10">
      <c r="C28">
        <v>5</v>
      </c>
      <c r="D28" s="5" t="s">
        <v>60</v>
      </c>
      <c r="E28" s="7">
        <f>SUMIF(D2:D21,"Минск",E2:E21)</f>
        <v>38</v>
      </c>
      <c r="F28" s="20">
        <f>SUMIF(D2:D21,"Минск",I2:I21)</f>
        <v>69504</v>
      </c>
      <c r="G28" s="20"/>
    </row>
    <row r="29" spans="1:10">
      <c r="C29">
        <v>6</v>
      </c>
      <c r="D29" s="5" t="s">
        <v>61</v>
      </c>
      <c r="E29" s="7">
        <f>SUMIF(D2:D21,"Киев",E2:E21)</f>
        <v>31</v>
      </c>
      <c r="F29" s="20">
        <f>SUMIF(D2:D21,"Киев",I2:I21)</f>
        <v>56700.549999999996</v>
      </c>
      <c r="G29" s="20"/>
    </row>
    <row r="31" spans="1:10">
      <c r="C31" s="1" t="s">
        <v>90</v>
      </c>
      <c r="D31" s="14" t="s">
        <v>92</v>
      </c>
    </row>
    <row r="32" spans="1:10">
      <c r="A32">
        <v>1</v>
      </c>
      <c r="B32" s="5" t="s">
        <v>67</v>
      </c>
      <c r="C32" s="7">
        <f>SUMIF(B2:B21,"ирис",E2:E21)</f>
        <v>106</v>
      </c>
      <c r="D32" s="7">
        <f>SUMIF(B2:B21,"ирис",J2:J21)</f>
        <v>6091828.6659999993</v>
      </c>
    </row>
    <row r="33" spans="1:7">
      <c r="A33">
        <v>2</v>
      </c>
      <c r="B33" s="5" t="s">
        <v>65</v>
      </c>
      <c r="C33" s="7">
        <f>SUMIF(B2:B21,"карамель",E2:E21)</f>
        <v>94</v>
      </c>
      <c r="D33" s="7">
        <f>SUMIF(B2:B21,"карамель",J2:J21)</f>
        <v>6441564.2137000002</v>
      </c>
    </row>
    <row r="34" spans="1:7">
      <c r="A34">
        <v>3</v>
      </c>
      <c r="B34" s="5" t="s">
        <v>71</v>
      </c>
      <c r="C34" s="7">
        <f>SUMIF(B2:B21,"батончик",E2:E21)</f>
        <v>60</v>
      </c>
      <c r="D34" s="7">
        <f>SUMIF(B2:B21,"батончик",J2:J21)</f>
        <v>2024256.6651999999</v>
      </c>
    </row>
    <row r="35" spans="1:7">
      <c r="A35">
        <v>4</v>
      </c>
      <c r="B35" s="5" t="s">
        <v>70</v>
      </c>
      <c r="C35" s="7">
        <f>SUMIF(B2:B21,"мармелад",E2:E21)</f>
        <v>66</v>
      </c>
      <c r="D35" s="7">
        <f>SUMIF(B2:B21,"мармелад",J2:J21)</f>
        <v>3541463.1251999997</v>
      </c>
    </row>
    <row r="36" spans="1:7">
      <c r="A36">
        <v>5</v>
      </c>
      <c r="B36" s="5" t="s">
        <v>66</v>
      </c>
      <c r="C36" s="7">
        <f>SUMIF(B2:B21,"шоколад",E2:E21)</f>
        <v>100</v>
      </c>
      <c r="D36" s="7">
        <f>SUMIF(B2:B21,"шоколад",J2:J21)</f>
        <v>7832487.0392999994</v>
      </c>
    </row>
    <row r="37" spans="1:7">
      <c r="A37">
        <v>6</v>
      </c>
      <c r="B37" s="5" t="s">
        <v>72</v>
      </c>
      <c r="C37" s="7">
        <f>SUMIF(B2:B21,"зефир",E2:E21)</f>
        <v>60</v>
      </c>
      <c r="D37" s="7">
        <f>SUMIF(B2:B21,"зефир",J2:J21)</f>
        <v>4106579.3692000005</v>
      </c>
    </row>
    <row r="38" spans="1:7">
      <c r="A38">
        <v>7</v>
      </c>
      <c r="B38" s="5" t="s">
        <v>69</v>
      </c>
      <c r="C38" s="7">
        <f>SUMIF(B2:B21,"грильяж",E2:E21)</f>
        <v>13</v>
      </c>
      <c r="D38" s="7">
        <f>SUMIF(B2:B21,"грильяж",J2:J21)</f>
        <v>1211550.6403000001</v>
      </c>
    </row>
    <row r="41" spans="1:7">
      <c r="E41" s="1" t="s">
        <v>93</v>
      </c>
      <c r="F41" s="1" t="s">
        <v>94</v>
      </c>
      <c r="G41" s="1" t="s">
        <v>95</v>
      </c>
    </row>
    <row r="42" spans="1:7">
      <c r="A42" s="5">
        <v>17</v>
      </c>
      <c r="B42" s="5" t="s">
        <v>72</v>
      </c>
      <c r="C42" s="5" t="s">
        <v>86</v>
      </c>
      <c r="D42" s="5" t="s">
        <v>59</v>
      </c>
      <c r="E42" s="12">
        <f>F42/1.2</f>
        <v>1993.2000000000003</v>
      </c>
      <c r="F42" s="12">
        <v>2391.84</v>
      </c>
      <c r="G42" s="12">
        <f>F42-E42</f>
        <v>398.63999999999987</v>
      </c>
    </row>
    <row r="43" spans="1:7">
      <c r="A43" s="5">
        <v>18</v>
      </c>
      <c r="B43" s="5" t="s">
        <v>67</v>
      </c>
      <c r="C43" s="5" t="s">
        <v>79</v>
      </c>
      <c r="D43" s="5" t="s">
        <v>60</v>
      </c>
      <c r="E43" s="12">
        <f t="shared" ref="E43:E45" si="3">F43/1.2</f>
        <v>879.35</v>
      </c>
      <c r="F43" s="12">
        <v>1055.22</v>
      </c>
      <c r="G43" s="12">
        <f t="shared" ref="G43:G45" si="4">F43-E43</f>
        <v>175.87</v>
      </c>
    </row>
    <row r="44" spans="1:7">
      <c r="A44" s="5">
        <v>19</v>
      </c>
      <c r="B44" s="5" t="s">
        <v>66</v>
      </c>
      <c r="C44" s="5" t="s">
        <v>87</v>
      </c>
      <c r="D44" s="5" t="s">
        <v>57</v>
      </c>
      <c r="E44" s="12">
        <f t="shared" si="3"/>
        <v>2974.291666666667</v>
      </c>
      <c r="F44" s="12">
        <v>3569.15</v>
      </c>
      <c r="G44" s="12">
        <f t="shared" si="4"/>
        <v>594.85833333333312</v>
      </c>
    </row>
    <row r="45" spans="1:7">
      <c r="A45" s="5">
        <v>20</v>
      </c>
      <c r="B45" s="5" t="s">
        <v>65</v>
      </c>
      <c r="C45" s="5" t="s">
        <v>88</v>
      </c>
      <c r="D45" s="5" t="s">
        <v>58</v>
      </c>
      <c r="E45" s="12">
        <f t="shared" si="3"/>
        <v>1260.4083333333333</v>
      </c>
      <c r="F45" s="12">
        <v>1512.49</v>
      </c>
      <c r="G45" s="12">
        <f t="shared" si="4"/>
        <v>252.08166666666671</v>
      </c>
    </row>
  </sheetData>
  <mergeCells count="7">
    <mergeCell ref="F29:G29"/>
    <mergeCell ref="F23:G23"/>
    <mergeCell ref="F24:G24"/>
    <mergeCell ref="F25:G25"/>
    <mergeCell ref="F26:G26"/>
    <mergeCell ref="F27:G27"/>
    <mergeCell ref="F28:G28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>
      <selection activeCell="H25" sqref="F25:H25"/>
    </sheetView>
  </sheetViews>
  <sheetFormatPr defaultRowHeight="15"/>
  <cols>
    <col min="1" max="1" width="12" customWidth="1"/>
    <col min="2" max="2" width="12.85546875" customWidth="1"/>
    <col min="3" max="3" width="14.5703125" customWidth="1"/>
    <col min="4" max="4" width="15.42578125" customWidth="1"/>
    <col min="5" max="5" width="13.140625" customWidth="1"/>
    <col min="7" max="7" width="28" customWidth="1"/>
    <col min="8" max="8" width="30.42578125" customWidth="1"/>
    <col min="9" max="9" width="32.140625" customWidth="1"/>
    <col min="10" max="10" width="30.7109375" customWidth="1"/>
    <col min="11" max="11" width="18.140625" customWidth="1"/>
    <col min="12" max="12" width="20.28515625" customWidth="1"/>
    <col min="13" max="13" width="31.7109375" customWidth="1"/>
    <col min="14" max="14" width="23" customWidth="1"/>
    <col min="15" max="15" width="17.7109375" customWidth="1"/>
    <col min="16" max="16" width="26.140625" customWidth="1"/>
  </cols>
  <sheetData>
    <row r="1" spans="1:16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100</v>
      </c>
      <c r="G1" s="18" t="s">
        <v>109</v>
      </c>
      <c r="H1" s="18" t="s">
        <v>110</v>
      </c>
      <c r="I1" s="18" t="s">
        <v>111</v>
      </c>
      <c r="J1" s="18" t="s">
        <v>112</v>
      </c>
      <c r="K1" s="18" t="s">
        <v>113</v>
      </c>
      <c r="L1" s="18" t="s">
        <v>114</v>
      </c>
      <c r="M1" s="18" t="s">
        <v>115</v>
      </c>
      <c r="N1" s="18" t="s">
        <v>116</v>
      </c>
      <c r="O1" s="18" t="s">
        <v>117</v>
      </c>
      <c r="P1" s="18" t="s">
        <v>118</v>
      </c>
    </row>
    <row r="2" spans="1:16">
      <c r="A2" s="11">
        <v>135</v>
      </c>
      <c r="B2" s="11">
        <v>30</v>
      </c>
      <c r="C2" s="11">
        <v>9</v>
      </c>
      <c r="D2" s="11" t="s">
        <v>105</v>
      </c>
      <c r="E2" s="11" t="s">
        <v>102</v>
      </c>
      <c r="G2">
        <f>IF(E2="м",B2,999999)</f>
        <v>30</v>
      </c>
      <c r="H2">
        <f>IF(E2="ж",A2,999999)</f>
        <v>999999</v>
      </c>
      <c r="I2">
        <f>A2/B2</f>
        <v>4.5</v>
      </c>
      <c r="J2">
        <f>(D2="голубой")*(E2="м")</f>
        <v>0</v>
      </c>
      <c r="K2" s="22">
        <f ca="1">IF(E2="ж",MATCH(D2,D$2:D$41,0),RANDBETWEEN(0,100000))</f>
        <v>24528</v>
      </c>
      <c r="L2">
        <f>(C2&gt;50)*(A2&gt;170)</f>
        <v>0</v>
      </c>
      <c r="M2">
        <f>(E2="ж")*(C2&lt;25)*(A2&gt;160)</f>
        <v>0</v>
      </c>
      <c r="N2">
        <f>(E2="м")*(C2&gt;=14)*(C2&lt;=27)*(D2="карий")</f>
        <v>0</v>
      </c>
      <c r="O2" t="b">
        <f>(C2&gt;=60)</f>
        <v>0</v>
      </c>
      <c r="P2">
        <f>(A2&gt;=170)*(A2&lt;=180)*(B2&gt;65)</f>
        <v>0</v>
      </c>
    </row>
    <row r="3" spans="1:16">
      <c r="A3" s="11">
        <v>174</v>
      </c>
      <c r="B3" s="11">
        <v>52</v>
      </c>
      <c r="C3" s="11">
        <v>23</v>
      </c>
      <c r="D3" s="11" t="s">
        <v>103</v>
      </c>
      <c r="E3" s="11" t="s">
        <v>23</v>
      </c>
      <c r="G3">
        <f>IF(E3="м",B3,999999)</f>
        <v>999999</v>
      </c>
      <c r="H3">
        <f t="shared" ref="H3:H41" si="0">IF(E3="ж",A3,999999)</f>
        <v>174</v>
      </c>
      <c r="I3">
        <f t="shared" ref="I3:I41" si="1">A3/B3</f>
        <v>3.3461538461538463</v>
      </c>
      <c r="J3">
        <f t="shared" ref="J3:J41" si="2">(D3="голубой")*(E3="м")</f>
        <v>0</v>
      </c>
      <c r="K3" s="22">
        <f ca="1">IF(E3="ж",MATCH(D3,D$2:D$41,0),RANDBETWEEN(0,100000))</f>
        <v>2</v>
      </c>
      <c r="L3">
        <f t="shared" ref="L3:L41" si="3">(C3&gt;50)*(A3&gt;170)</f>
        <v>0</v>
      </c>
      <c r="M3">
        <f t="shared" ref="M3:M41" si="4">(E3="ж")*(C3&lt;25)*(A3&gt;160)</f>
        <v>1</v>
      </c>
      <c r="N3">
        <f t="shared" ref="N3:N41" si="5">(E3="м")*(C3&gt;=14)*(C3&lt;=27)*(D3="карий")</f>
        <v>0</v>
      </c>
      <c r="O3" t="b">
        <f t="shared" ref="O3:O41" si="6">(C3&gt;=60)</f>
        <v>0</v>
      </c>
      <c r="P3">
        <f t="shared" ref="P3:P41" si="7">(A3&gt;=170)*(A3&lt;=180)*(B3&gt;65)</f>
        <v>0</v>
      </c>
    </row>
    <row r="4" spans="1:16">
      <c r="A4" s="11">
        <v>154</v>
      </c>
      <c r="B4" s="11">
        <v>62</v>
      </c>
      <c r="C4" s="11">
        <v>15</v>
      </c>
      <c r="D4" s="11" t="s">
        <v>104</v>
      </c>
      <c r="E4" s="11" t="s">
        <v>102</v>
      </c>
      <c r="G4">
        <f t="shared" ref="G4:G41" si="8">IF(E4="м",B4,999999)</f>
        <v>62</v>
      </c>
      <c r="H4">
        <f t="shared" si="0"/>
        <v>999999</v>
      </c>
      <c r="I4">
        <f t="shared" si="1"/>
        <v>2.4838709677419355</v>
      </c>
      <c r="J4">
        <f t="shared" si="2"/>
        <v>1</v>
      </c>
      <c r="K4" s="22">
        <f t="shared" ref="K4:K41" ca="1" si="9">IF(E4="ж",MATCH(D4,D$2:D$41,0),RANDBETWEEN(0,100000))</f>
        <v>72849</v>
      </c>
      <c r="L4">
        <f t="shared" si="3"/>
        <v>0</v>
      </c>
      <c r="M4">
        <f t="shared" si="4"/>
        <v>0</v>
      </c>
      <c r="N4">
        <f t="shared" si="5"/>
        <v>0</v>
      </c>
      <c r="O4" t="b">
        <f t="shared" si="6"/>
        <v>0</v>
      </c>
      <c r="P4">
        <f t="shared" si="7"/>
        <v>0</v>
      </c>
    </row>
    <row r="5" spans="1:16">
      <c r="A5" s="11">
        <v>152</v>
      </c>
      <c r="B5" s="11">
        <v>61</v>
      </c>
      <c r="C5" s="11">
        <v>17</v>
      </c>
      <c r="D5" s="11" t="s">
        <v>105</v>
      </c>
      <c r="E5" s="11" t="s">
        <v>102</v>
      </c>
      <c r="G5">
        <f t="shared" si="8"/>
        <v>61</v>
      </c>
      <c r="H5">
        <f t="shared" si="0"/>
        <v>999999</v>
      </c>
      <c r="I5">
        <f t="shared" si="1"/>
        <v>2.4918032786885247</v>
      </c>
      <c r="J5">
        <f t="shared" si="2"/>
        <v>0</v>
      </c>
      <c r="K5" s="22">
        <f t="shared" ca="1" si="9"/>
        <v>78620</v>
      </c>
      <c r="L5">
        <f t="shared" si="3"/>
        <v>0</v>
      </c>
      <c r="M5">
        <f t="shared" si="4"/>
        <v>0</v>
      </c>
      <c r="N5">
        <f t="shared" si="5"/>
        <v>0</v>
      </c>
      <c r="O5" t="b">
        <f t="shared" si="6"/>
        <v>0</v>
      </c>
      <c r="P5">
        <f t="shared" si="7"/>
        <v>0</v>
      </c>
    </row>
    <row r="6" spans="1:16">
      <c r="A6" s="11">
        <v>168</v>
      </c>
      <c r="B6" s="11">
        <v>54</v>
      </c>
      <c r="C6" s="11">
        <v>18</v>
      </c>
      <c r="D6" s="11" t="s">
        <v>103</v>
      </c>
      <c r="E6" s="11" t="s">
        <v>23</v>
      </c>
      <c r="G6">
        <f t="shared" si="8"/>
        <v>999999</v>
      </c>
      <c r="H6">
        <f t="shared" si="0"/>
        <v>168</v>
      </c>
      <c r="I6">
        <f t="shared" si="1"/>
        <v>3.1111111111111112</v>
      </c>
      <c r="J6">
        <f t="shared" si="2"/>
        <v>0</v>
      </c>
      <c r="K6" s="22">
        <f t="shared" ca="1" si="9"/>
        <v>2</v>
      </c>
      <c r="L6">
        <f t="shared" si="3"/>
        <v>0</v>
      </c>
      <c r="M6">
        <f t="shared" si="4"/>
        <v>1</v>
      </c>
      <c r="N6">
        <f t="shared" si="5"/>
        <v>0</v>
      </c>
      <c r="O6" t="b">
        <f t="shared" si="6"/>
        <v>0</v>
      </c>
      <c r="P6">
        <f t="shared" si="7"/>
        <v>0</v>
      </c>
    </row>
    <row r="7" spans="1:16">
      <c r="A7" s="11">
        <v>152</v>
      </c>
      <c r="B7" s="11">
        <v>59</v>
      </c>
      <c r="C7" s="11">
        <v>21</v>
      </c>
      <c r="D7" s="11" t="s">
        <v>103</v>
      </c>
      <c r="E7" s="11" t="s">
        <v>23</v>
      </c>
      <c r="G7">
        <f t="shared" si="8"/>
        <v>999999</v>
      </c>
      <c r="H7">
        <f t="shared" si="0"/>
        <v>152</v>
      </c>
      <c r="I7">
        <f t="shared" si="1"/>
        <v>2.5762711864406778</v>
      </c>
      <c r="J7">
        <f t="shared" si="2"/>
        <v>0</v>
      </c>
      <c r="K7" s="22">
        <f t="shared" ca="1" si="9"/>
        <v>2</v>
      </c>
      <c r="L7">
        <f t="shared" si="3"/>
        <v>0</v>
      </c>
      <c r="M7">
        <f t="shared" si="4"/>
        <v>0</v>
      </c>
      <c r="N7">
        <f t="shared" si="5"/>
        <v>0</v>
      </c>
      <c r="O7" t="b">
        <f t="shared" si="6"/>
        <v>0</v>
      </c>
      <c r="P7">
        <f t="shared" si="7"/>
        <v>0</v>
      </c>
    </row>
    <row r="8" spans="1:16">
      <c r="A8" s="11">
        <v>147</v>
      </c>
      <c r="B8" s="11">
        <v>70</v>
      </c>
      <c r="C8" s="11">
        <v>25</v>
      </c>
      <c r="D8" s="11" t="s">
        <v>104</v>
      </c>
      <c r="E8" s="11" t="s">
        <v>102</v>
      </c>
      <c r="G8">
        <f t="shared" si="8"/>
        <v>70</v>
      </c>
      <c r="H8">
        <f t="shared" si="0"/>
        <v>999999</v>
      </c>
      <c r="I8">
        <f t="shared" si="1"/>
        <v>2.1</v>
      </c>
      <c r="J8">
        <f t="shared" si="2"/>
        <v>1</v>
      </c>
      <c r="K8" s="22">
        <f t="shared" ca="1" si="9"/>
        <v>70879</v>
      </c>
      <c r="L8">
        <f t="shared" si="3"/>
        <v>0</v>
      </c>
      <c r="M8">
        <f t="shared" si="4"/>
        <v>0</v>
      </c>
      <c r="N8">
        <f t="shared" si="5"/>
        <v>0</v>
      </c>
      <c r="O8" t="b">
        <f t="shared" si="6"/>
        <v>0</v>
      </c>
      <c r="P8">
        <f t="shared" si="7"/>
        <v>0</v>
      </c>
    </row>
    <row r="9" spans="1:16">
      <c r="A9" s="11">
        <v>189</v>
      </c>
      <c r="B9" s="11">
        <v>70</v>
      </c>
      <c r="C9" s="11">
        <v>62</v>
      </c>
      <c r="D9" s="11" t="s">
        <v>103</v>
      </c>
      <c r="E9" s="11" t="s">
        <v>102</v>
      </c>
      <c r="G9">
        <f t="shared" si="8"/>
        <v>70</v>
      </c>
      <c r="H9">
        <f t="shared" si="0"/>
        <v>999999</v>
      </c>
      <c r="I9">
        <f t="shared" si="1"/>
        <v>2.7</v>
      </c>
      <c r="J9">
        <f t="shared" si="2"/>
        <v>0</v>
      </c>
      <c r="K9" s="22">
        <f t="shared" ca="1" si="9"/>
        <v>85868</v>
      </c>
      <c r="L9">
        <f t="shared" si="3"/>
        <v>1</v>
      </c>
      <c r="M9">
        <f t="shared" si="4"/>
        <v>0</v>
      </c>
      <c r="N9">
        <f t="shared" si="5"/>
        <v>0</v>
      </c>
      <c r="O9" t="b">
        <f t="shared" si="6"/>
        <v>1</v>
      </c>
      <c r="P9">
        <f t="shared" si="7"/>
        <v>0</v>
      </c>
    </row>
    <row r="10" spans="1:16">
      <c r="A10" s="11">
        <v>157</v>
      </c>
      <c r="B10" s="11">
        <v>53</v>
      </c>
      <c r="C10" s="11">
        <v>40</v>
      </c>
      <c r="D10" s="11" t="s">
        <v>101</v>
      </c>
      <c r="E10" s="11" t="s">
        <v>23</v>
      </c>
      <c r="G10">
        <f t="shared" si="8"/>
        <v>999999</v>
      </c>
      <c r="H10">
        <f t="shared" si="0"/>
        <v>157</v>
      </c>
      <c r="I10">
        <f t="shared" si="1"/>
        <v>2.9622641509433962</v>
      </c>
      <c r="J10">
        <f t="shared" si="2"/>
        <v>0</v>
      </c>
      <c r="K10" s="22">
        <f t="shared" ca="1" si="9"/>
        <v>9</v>
      </c>
      <c r="L10">
        <f t="shared" si="3"/>
        <v>0</v>
      </c>
      <c r="M10">
        <f t="shared" si="4"/>
        <v>0</v>
      </c>
      <c r="N10">
        <f t="shared" si="5"/>
        <v>0</v>
      </c>
      <c r="O10" t="b">
        <f t="shared" si="6"/>
        <v>0</v>
      </c>
      <c r="P10">
        <f t="shared" si="7"/>
        <v>0</v>
      </c>
    </row>
    <row r="11" spans="1:16">
      <c r="A11" s="11">
        <v>182</v>
      </c>
      <c r="B11" s="11">
        <v>81</v>
      </c>
      <c r="C11" s="11">
        <v>25</v>
      </c>
      <c r="D11" s="11" t="s">
        <v>105</v>
      </c>
      <c r="E11" s="11" t="s">
        <v>102</v>
      </c>
      <c r="G11">
        <f t="shared" si="8"/>
        <v>81</v>
      </c>
      <c r="H11">
        <f t="shared" si="0"/>
        <v>999999</v>
      </c>
      <c r="I11">
        <f t="shared" si="1"/>
        <v>2.2469135802469138</v>
      </c>
      <c r="J11">
        <f t="shared" si="2"/>
        <v>0</v>
      </c>
      <c r="K11" s="22">
        <f t="shared" ca="1" si="9"/>
        <v>78903</v>
      </c>
      <c r="L11">
        <f t="shared" si="3"/>
        <v>0</v>
      </c>
      <c r="M11">
        <f t="shared" si="4"/>
        <v>0</v>
      </c>
      <c r="N11">
        <f t="shared" si="5"/>
        <v>0</v>
      </c>
      <c r="O11" t="b">
        <f t="shared" si="6"/>
        <v>0</v>
      </c>
      <c r="P11">
        <f t="shared" si="7"/>
        <v>0</v>
      </c>
    </row>
    <row r="12" spans="1:16">
      <c r="A12" s="11">
        <v>180</v>
      </c>
      <c r="B12" s="11">
        <v>80</v>
      </c>
      <c r="C12" s="11">
        <v>25</v>
      </c>
      <c r="D12" s="11" t="s">
        <v>104</v>
      </c>
      <c r="E12" s="11" t="s">
        <v>23</v>
      </c>
      <c r="G12">
        <f t="shared" si="8"/>
        <v>999999</v>
      </c>
      <c r="H12">
        <f t="shared" si="0"/>
        <v>180</v>
      </c>
      <c r="I12">
        <f t="shared" si="1"/>
        <v>2.25</v>
      </c>
      <c r="J12">
        <f t="shared" si="2"/>
        <v>0</v>
      </c>
      <c r="K12" s="22">
        <f t="shared" ca="1" si="9"/>
        <v>3</v>
      </c>
      <c r="L12">
        <f t="shared" si="3"/>
        <v>0</v>
      </c>
      <c r="M12">
        <f t="shared" si="4"/>
        <v>0</v>
      </c>
      <c r="N12">
        <f t="shared" si="5"/>
        <v>0</v>
      </c>
      <c r="O12" t="b">
        <f t="shared" si="6"/>
        <v>0</v>
      </c>
      <c r="P12">
        <f t="shared" si="7"/>
        <v>1</v>
      </c>
    </row>
    <row r="13" spans="1:16">
      <c r="A13" s="11">
        <v>169</v>
      </c>
      <c r="B13" s="11">
        <v>54</v>
      </c>
      <c r="C13" s="11">
        <v>35</v>
      </c>
      <c r="D13" s="11" t="s">
        <v>103</v>
      </c>
      <c r="E13" s="11" t="s">
        <v>102</v>
      </c>
      <c r="G13">
        <f t="shared" si="8"/>
        <v>54</v>
      </c>
      <c r="H13">
        <f t="shared" si="0"/>
        <v>999999</v>
      </c>
      <c r="I13">
        <f t="shared" si="1"/>
        <v>3.1296296296296298</v>
      </c>
      <c r="J13">
        <f t="shared" si="2"/>
        <v>0</v>
      </c>
      <c r="K13" s="22">
        <f t="shared" ca="1" si="9"/>
        <v>58340</v>
      </c>
      <c r="L13">
        <f t="shared" si="3"/>
        <v>0</v>
      </c>
      <c r="M13">
        <f t="shared" si="4"/>
        <v>0</v>
      </c>
      <c r="N13">
        <f t="shared" si="5"/>
        <v>0</v>
      </c>
      <c r="O13" t="b">
        <f t="shared" si="6"/>
        <v>0</v>
      </c>
      <c r="P13">
        <f t="shared" si="7"/>
        <v>0</v>
      </c>
    </row>
    <row r="14" spans="1:16">
      <c r="A14" s="11">
        <v>158</v>
      </c>
      <c r="B14" s="11">
        <v>57</v>
      </c>
      <c r="C14" s="11">
        <v>16</v>
      </c>
      <c r="D14" s="11" t="s">
        <v>101</v>
      </c>
      <c r="E14" s="11" t="s">
        <v>23</v>
      </c>
      <c r="G14">
        <f t="shared" si="8"/>
        <v>999999</v>
      </c>
      <c r="H14">
        <f t="shared" si="0"/>
        <v>158</v>
      </c>
      <c r="I14">
        <f t="shared" si="1"/>
        <v>2.7719298245614037</v>
      </c>
      <c r="J14">
        <f t="shared" si="2"/>
        <v>0</v>
      </c>
      <c r="K14" s="22">
        <f t="shared" ca="1" si="9"/>
        <v>9</v>
      </c>
      <c r="L14">
        <f t="shared" si="3"/>
        <v>0</v>
      </c>
      <c r="M14">
        <f t="shared" si="4"/>
        <v>0</v>
      </c>
      <c r="N14">
        <f t="shared" si="5"/>
        <v>0</v>
      </c>
      <c r="O14" t="b">
        <f t="shared" si="6"/>
        <v>0</v>
      </c>
      <c r="P14">
        <f t="shared" si="7"/>
        <v>0</v>
      </c>
    </row>
    <row r="15" spans="1:16">
      <c r="A15" s="11">
        <v>189</v>
      </c>
      <c r="B15" s="11">
        <v>56</v>
      </c>
      <c r="C15" s="11">
        <v>18</v>
      </c>
      <c r="D15" s="11" t="s">
        <v>101</v>
      </c>
      <c r="E15" s="11" t="s">
        <v>102</v>
      </c>
      <c r="G15">
        <f t="shared" si="8"/>
        <v>56</v>
      </c>
      <c r="H15">
        <f t="shared" si="0"/>
        <v>999999</v>
      </c>
      <c r="I15">
        <f t="shared" si="1"/>
        <v>3.375</v>
      </c>
      <c r="J15">
        <f t="shared" si="2"/>
        <v>0</v>
      </c>
      <c r="K15" s="22">
        <f t="shared" ca="1" si="9"/>
        <v>25089</v>
      </c>
      <c r="L15">
        <f t="shared" si="3"/>
        <v>0</v>
      </c>
      <c r="M15">
        <f t="shared" si="4"/>
        <v>0</v>
      </c>
      <c r="N15">
        <f t="shared" si="5"/>
        <v>1</v>
      </c>
      <c r="O15" t="b">
        <f t="shared" si="6"/>
        <v>0</v>
      </c>
      <c r="P15">
        <f t="shared" si="7"/>
        <v>0</v>
      </c>
    </row>
    <row r="16" spans="1:16">
      <c r="A16" s="11">
        <v>40</v>
      </c>
      <c r="B16" s="11">
        <v>5</v>
      </c>
      <c r="C16" s="11">
        <v>2</v>
      </c>
      <c r="D16" s="11" t="s">
        <v>104</v>
      </c>
      <c r="E16" s="11" t="s">
        <v>102</v>
      </c>
      <c r="G16">
        <f t="shared" si="8"/>
        <v>5</v>
      </c>
      <c r="H16">
        <f t="shared" si="0"/>
        <v>999999</v>
      </c>
      <c r="I16">
        <f t="shared" si="1"/>
        <v>8</v>
      </c>
      <c r="J16">
        <f t="shared" si="2"/>
        <v>1</v>
      </c>
      <c r="K16" s="22">
        <f t="shared" ca="1" si="9"/>
        <v>12918</v>
      </c>
      <c r="L16">
        <f t="shared" si="3"/>
        <v>0</v>
      </c>
      <c r="M16">
        <f t="shared" si="4"/>
        <v>0</v>
      </c>
      <c r="N16">
        <f t="shared" si="5"/>
        <v>0</v>
      </c>
      <c r="O16" t="b">
        <f t="shared" si="6"/>
        <v>0</v>
      </c>
      <c r="P16">
        <f t="shared" si="7"/>
        <v>0</v>
      </c>
    </row>
    <row r="17" spans="1:16">
      <c r="A17" s="11">
        <v>116</v>
      </c>
      <c r="B17" s="11">
        <v>25</v>
      </c>
      <c r="C17" s="11">
        <v>5</v>
      </c>
      <c r="D17" s="11" t="s">
        <v>105</v>
      </c>
      <c r="E17" s="11" t="s">
        <v>23</v>
      </c>
      <c r="G17">
        <f t="shared" si="8"/>
        <v>999999</v>
      </c>
      <c r="H17">
        <f t="shared" si="0"/>
        <v>116</v>
      </c>
      <c r="I17">
        <f t="shared" si="1"/>
        <v>4.6399999999999997</v>
      </c>
      <c r="J17">
        <f t="shared" si="2"/>
        <v>0</v>
      </c>
      <c r="K17" s="22">
        <f t="shared" ca="1" si="9"/>
        <v>1</v>
      </c>
      <c r="L17">
        <f t="shared" si="3"/>
        <v>0</v>
      </c>
      <c r="M17">
        <f t="shared" si="4"/>
        <v>0</v>
      </c>
      <c r="N17">
        <f t="shared" si="5"/>
        <v>0</v>
      </c>
      <c r="O17" t="b">
        <f t="shared" si="6"/>
        <v>0</v>
      </c>
      <c r="P17">
        <f t="shared" si="7"/>
        <v>0</v>
      </c>
    </row>
    <row r="18" spans="1:16">
      <c r="A18" s="11">
        <v>152</v>
      </c>
      <c r="B18" s="11">
        <v>68</v>
      </c>
      <c r="C18" s="11">
        <v>69</v>
      </c>
      <c r="D18" s="11" t="s">
        <v>103</v>
      </c>
      <c r="E18" s="11" t="s">
        <v>23</v>
      </c>
      <c r="G18">
        <f t="shared" si="8"/>
        <v>999999</v>
      </c>
      <c r="H18">
        <f t="shared" si="0"/>
        <v>152</v>
      </c>
      <c r="I18">
        <f t="shared" si="1"/>
        <v>2.2352941176470589</v>
      </c>
      <c r="J18">
        <f t="shared" si="2"/>
        <v>0</v>
      </c>
      <c r="K18" s="22">
        <f t="shared" ca="1" si="9"/>
        <v>2</v>
      </c>
      <c r="L18">
        <f t="shared" si="3"/>
        <v>0</v>
      </c>
      <c r="M18">
        <f t="shared" si="4"/>
        <v>0</v>
      </c>
      <c r="N18">
        <f t="shared" si="5"/>
        <v>0</v>
      </c>
      <c r="O18" t="b">
        <f t="shared" si="6"/>
        <v>1</v>
      </c>
      <c r="P18">
        <f t="shared" si="7"/>
        <v>0</v>
      </c>
    </row>
    <row r="19" spans="1:16">
      <c r="A19" s="11">
        <v>168</v>
      </c>
      <c r="B19" s="11">
        <v>82</v>
      </c>
      <c r="C19" s="11">
        <v>25</v>
      </c>
      <c r="D19" s="11" t="s">
        <v>101</v>
      </c>
      <c r="E19" s="11" t="s">
        <v>23</v>
      </c>
      <c r="G19">
        <f t="shared" si="8"/>
        <v>999999</v>
      </c>
      <c r="H19">
        <f t="shared" si="0"/>
        <v>168</v>
      </c>
      <c r="I19">
        <f t="shared" si="1"/>
        <v>2.0487804878048781</v>
      </c>
      <c r="J19">
        <f t="shared" si="2"/>
        <v>0</v>
      </c>
      <c r="K19" s="22">
        <f t="shared" ca="1" si="9"/>
        <v>9</v>
      </c>
      <c r="L19">
        <f t="shared" si="3"/>
        <v>0</v>
      </c>
      <c r="M19">
        <f t="shared" si="4"/>
        <v>0</v>
      </c>
      <c r="N19">
        <f t="shared" si="5"/>
        <v>0</v>
      </c>
      <c r="O19" t="b">
        <f t="shared" si="6"/>
        <v>0</v>
      </c>
      <c r="P19">
        <f t="shared" si="7"/>
        <v>0</v>
      </c>
    </row>
    <row r="20" spans="1:16">
      <c r="A20" s="11">
        <v>167</v>
      </c>
      <c r="B20" s="11">
        <v>70</v>
      </c>
      <c r="C20" s="11">
        <v>16</v>
      </c>
      <c r="D20" s="11" t="s">
        <v>105</v>
      </c>
      <c r="E20" s="11" t="s">
        <v>102</v>
      </c>
      <c r="G20">
        <f t="shared" si="8"/>
        <v>70</v>
      </c>
      <c r="H20">
        <f t="shared" si="0"/>
        <v>999999</v>
      </c>
      <c r="I20">
        <f t="shared" si="1"/>
        <v>2.3857142857142857</v>
      </c>
      <c r="J20">
        <f t="shared" si="2"/>
        <v>0</v>
      </c>
      <c r="K20" s="22">
        <f t="shared" ca="1" si="9"/>
        <v>70169</v>
      </c>
      <c r="L20">
        <f t="shared" si="3"/>
        <v>0</v>
      </c>
      <c r="M20">
        <f t="shared" si="4"/>
        <v>0</v>
      </c>
      <c r="N20">
        <f t="shared" si="5"/>
        <v>0</v>
      </c>
      <c r="O20" t="b">
        <f t="shared" si="6"/>
        <v>0</v>
      </c>
      <c r="P20">
        <f t="shared" si="7"/>
        <v>0</v>
      </c>
    </row>
    <row r="21" spans="1:16">
      <c r="A21" s="11">
        <v>180</v>
      </c>
      <c r="B21" s="11">
        <v>150</v>
      </c>
      <c r="C21" s="11">
        <v>85</v>
      </c>
      <c r="D21" s="11" t="s">
        <v>101</v>
      </c>
      <c r="E21" s="11" t="s">
        <v>102</v>
      </c>
      <c r="G21">
        <f t="shared" si="8"/>
        <v>150</v>
      </c>
      <c r="H21">
        <f t="shared" si="0"/>
        <v>999999</v>
      </c>
      <c r="I21">
        <f t="shared" si="1"/>
        <v>1.2</v>
      </c>
      <c r="J21">
        <f t="shared" si="2"/>
        <v>0</v>
      </c>
      <c r="K21" s="22">
        <f t="shared" ca="1" si="9"/>
        <v>85541</v>
      </c>
      <c r="L21">
        <f t="shared" si="3"/>
        <v>1</v>
      </c>
      <c r="M21">
        <f t="shared" si="4"/>
        <v>0</v>
      </c>
      <c r="N21">
        <f t="shared" si="5"/>
        <v>0</v>
      </c>
      <c r="O21" t="b">
        <f t="shared" si="6"/>
        <v>1</v>
      </c>
      <c r="P21">
        <f t="shared" si="7"/>
        <v>1</v>
      </c>
    </row>
    <row r="22" spans="1:16">
      <c r="A22" s="11">
        <v>157</v>
      </c>
      <c r="B22" s="11">
        <v>180</v>
      </c>
      <c r="C22" s="11">
        <v>42</v>
      </c>
      <c r="D22" s="11" t="s">
        <v>104</v>
      </c>
      <c r="E22" s="11" t="s">
        <v>102</v>
      </c>
      <c r="G22">
        <f t="shared" si="8"/>
        <v>180</v>
      </c>
      <c r="H22">
        <f t="shared" si="0"/>
        <v>999999</v>
      </c>
      <c r="I22">
        <f t="shared" si="1"/>
        <v>0.87222222222222223</v>
      </c>
      <c r="J22">
        <f t="shared" si="2"/>
        <v>1</v>
      </c>
      <c r="K22" s="22">
        <f t="shared" ca="1" si="9"/>
        <v>58386</v>
      </c>
      <c r="L22">
        <f t="shared" si="3"/>
        <v>0</v>
      </c>
      <c r="M22">
        <f t="shared" si="4"/>
        <v>0</v>
      </c>
      <c r="N22">
        <f t="shared" si="5"/>
        <v>0</v>
      </c>
      <c r="O22" t="b">
        <f t="shared" si="6"/>
        <v>0</v>
      </c>
      <c r="P22">
        <f t="shared" si="7"/>
        <v>0</v>
      </c>
    </row>
    <row r="23" spans="1:16">
      <c r="A23" s="11">
        <v>194</v>
      </c>
      <c r="B23" s="11">
        <v>83</v>
      </c>
      <c r="C23" s="11">
        <v>56</v>
      </c>
      <c r="D23" s="11" t="s">
        <v>106</v>
      </c>
      <c r="E23" s="11" t="s">
        <v>23</v>
      </c>
      <c r="G23">
        <f t="shared" si="8"/>
        <v>999999</v>
      </c>
      <c r="H23">
        <f t="shared" si="0"/>
        <v>194</v>
      </c>
      <c r="I23">
        <f t="shared" si="1"/>
        <v>2.3373493975903616</v>
      </c>
      <c r="J23">
        <f t="shared" si="2"/>
        <v>0</v>
      </c>
      <c r="K23" s="22">
        <f t="shared" ca="1" si="9"/>
        <v>22</v>
      </c>
      <c r="L23">
        <f t="shared" si="3"/>
        <v>1</v>
      </c>
      <c r="M23">
        <f t="shared" si="4"/>
        <v>0</v>
      </c>
      <c r="N23">
        <f t="shared" si="5"/>
        <v>0</v>
      </c>
      <c r="O23" t="b">
        <f t="shared" si="6"/>
        <v>0</v>
      </c>
      <c r="P23">
        <f t="shared" si="7"/>
        <v>0</v>
      </c>
    </row>
    <row r="24" spans="1:16">
      <c r="A24" s="11">
        <v>192</v>
      </c>
      <c r="B24" s="11">
        <v>91</v>
      </c>
      <c r="C24" s="11">
        <v>23</v>
      </c>
      <c r="D24" s="11" t="s">
        <v>106</v>
      </c>
      <c r="E24" s="11" t="s">
        <v>102</v>
      </c>
      <c r="G24">
        <f t="shared" si="8"/>
        <v>91</v>
      </c>
      <c r="H24">
        <f t="shared" si="0"/>
        <v>999999</v>
      </c>
      <c r="I24">
        <f t="shared" si="1"/>
        <v>2.1098901098901099</v>
      </c>
      <c r="J24">
        <f t="shared" si="2"/>
        <v>0</v>
      </c>
      <c r="K24" s="22">
        <f t="shared" ca="1" si="9"/>
        <v>24068</v>
      </c>
      <c r="L24">
        <f t="shared" si="3"/>
        <v>0</v>
      </c>
      <c r="M24">
        <f t="shared" si="4"/>
        <v>0</v>
      </c>
      <c r="N24">
        <f t="shared" si="5"/>
        <v>0</v>
      </c>
      <c r="O24" t="b">
        <f t="shared" si="6"/>
        <v>0</v>
      </c>
      <c r="P24">
        <f t="shared" si="7"/>
        <v>0</v>
      </c>
    </row>
    <row r="25" spans="1:16">
      <c r="A25" s="11">
        <v>180</v>
      </c>
      <c r="B25" s="11">
        <v>82</v>
      </c>
      <c r="C25" s="11">
        <v>56</v>
      </c>
      <c r="D25" s="11" t="s">
        <v>101</v>
      </c>
      <c r="E25" s="11" t="s">
        <v>23</v>
      </c>
      <c r="G25">
        <f t="shared" si="8"/>
        <v>999999</v>
      </c>
      <c r="H25">
        <f t="shared" si="0"/>
        <v>180</v>
      </c>
      <c r="I25">
        <f t="shared" si="1"/>
        <v>2.1951219512195124</v>
      </c>
      <c r="J25">
        <f t="shared" si="2"/>
        <v>0</v>
      </c>
      <c r="K25" s="22">
        <f t="shared" ca="1" si="9"/>
        <v>9</v>
      </c>
      <c r="L25">
        <f t="shared" si="3"/>
        <v>1</v>
      </c>
      <c r="M25">
        <f t="shared" si="4"/>
        <v>0</v>
      </c>
      <c r="N25">
        <f t="shared" si="5"/>
        <v>0</v>
      </c>
      <c r="O25" t="b">
        <f t="shared" si="6"/>
        <v>0</v>
      </c>
      <c r="P25">
        <f t="shared" si="7"/>
        <v>1</v>
      </c>
    </row>
    <row r="26" spans="1:16">
      <c r="A26" s="11">
        <v>176</v>
      </c>
      <c r="B26" s="11">
        <v>80</v>
      </c>
      <c r="C26" s="11">
        <v>32</v>
      </c>
      <c r="D26" s="11" t="s">
        <v>105</v>
      </c>
      <c r="E26" s="11" t="s">
        <v>102</v>
      </c>
      <c r="G26">
        <f t="shared" si="8"/>
        <v>80</v>
      </c>
      <c r="H26">
        <f t="shared" si="0"/>
        <v>999999</v>
      </c>
      <c r="I26">
        <f t="shared" si="1"/>
        <v>2.2000000000000002</v>
      </c>
      <c r="J26">
        <f t="shared" si="2"/>
        <v>0</v>
      </c>
      <c r="K26" s="22">
        <f t="shared" ca="1" si="9"/>
        <v>68941</v>
      </c>
      <c r="L26">
        <f t="shared" si="3"/>
        <v>0</v>
      </c>
      <c r="M26">
        <f t="shared" si="4"/>
        <v>0</v>
      </c>
      <c r="N26">
        <f t="shared" si="5"/>
        <v>0</v>
      </c>
      <c r="O26" t="b">
        <f t="shared" si="6"/>
        <v>0</v>
      </c>
      <c r="P26">
        <f t="shared" si="7"/>
        <v>1</v>
      </c>
    </row>
    <row r="27" spans="1:16">
      <c r="A27" s="11">
        <v>168</v>
      </c>
      <c r="B27" s="11">
        <v>110</v>
      </c>
      <c r="C27" s="11">
        <v>52</v>
      </c>
      <c r="D27" s="11" t="s">
        <v>105</v>
      </c>
      <c r="E27" s="11" t="s">
        <v>23</v>
      </c>
      <c r="G27">
        <f t="shared" si="8"/>
        <v>999999</v>
      </c>
      <c r="H27">
        <f t="shared" si="0"/>
        <v>168</v>
      </c>
      <c r="I27">
        <f t="shared" si="1"/>
        <v>1.5272727272727273</v>
      </c>
      <c r="J27">
        <f t="shared" si="2"/>
        <v>0</v>
      </c>
      <c r="K27" s="22">
        <f t="shared" ca="1" si="9"/>
        <v>1</v>
      </c>
      <c r="L27">
        <f t="shared" si="3"/>
        <v>0</v>
      </c>
      <c r="M27">
        <f t="shared" si="4"/>
        <v>0</v>
      </c>
      <c r="N27">
        <f t="shared" si="5"/>
        <v>0</v>
      </c>
      <c r="O27" t="b">
        <f t="shared" si="6"/>
        <v>0</v>
      </c>
      <c r="P27">
        <f t="shared" si="7"/>
        <v>0</v>
      </c>
    </row>
    <row r="28" spans="1:16">
      <c r="A28" s="11">
        <v>159</v>
      </c>
      <c r="B28" s="11">
        <v>62</v>
      </c>
      <c r="C28" s="11">
        <v>15</v>
      </c>
      <c r="D28" s="11" t="s">
        <v>105</v>
      </c>
      <c r="E28" s="11" t="s">
        <v>23</v>
      </c>
      <c r="G28">
        <f t="shared" si="8"/>
        <v>999999</v>
      </c>
      <c r="H28">
        <f t="shared" si="0"/>
        <v>159</v>
      </c>
      <c r="I28">
        <f t="shared" si="1"/>
        <v>2.564516129032258</v>
      </c>
      <c r="J28">
        <f t="shared" si="2"/>
        <v>0</v>
      </c>
      <c r="K28" s="22">
        <f t="shared" ca="1" si="9"/>
        <v>1</v>
      </c>
      <c r="L28">
        <f t="shared" si="3"/>
        <v>0</v>
      </c>
      <c r="M28">
        <f t="shared" si="4"/>
        <v>0</v>
      </c>
      <c r="N28">
        <f t="shared" si="5"/>
        <v>0</v>
      </c>
      <c r="O28" t="b">
        <f t="shared" si="6"/>
        <v>0</v>
      </c>
      <c r="P28">
        <f t="shared" si="7"/>
        <v>0</v>
      </c>
    </row>
    <row r="29" spans="1:16">
      <c r="A29" s="11">
        <v>182</v>
      </c>
      <c r="B29" s="11">
        <v>53</v>
      </c>
      <c r="C29" s="11">
        <v>25</v>
      </c>
      <c r="D29" s="11" t="s">
        <v>104</v>
      </c>
      <c r="E29" s="11" t="s">
        <v>102</v>
      </c>
      <c r="G29">
        <f t="shared" si="8"/>
        <v>53</v>
      </c>
      <c r="H29">
        <f t="shared" si="0"/>
        <v>999999</v>
      </c>
      <c r="I29">
        <f t="shared" si="1"/>
        <v>3.4339622641509435</v>
      </c>
      <c r="J29">
        <f t="shared" si="2"/>
        <v>1</v>
      </c>
      <c r="K29" s="22">
        <f t="shared" ca="1" si="9"/>
        <v>16598</v>
      </c>
      <c r="L29">
        <f t="shared" si="3"/>
        <v>0</v>
      </c>
      <c r="M29">
        <f t="shared" si="4"/>
        <v>0</v>
      </c>
      <c r="N29">
        <f t="shared" si="5"/>
        <v>0</v>
      </c>
      <c r="O29" t="b">
        <f t="shared" si="6"/>
        <v>0</v>
      </c>
      <c r="P29">
        <f t="shared" si="7"/>
        <v>0</v>
      </c>
    </row>
    <row r="30" spans="1:16">
      <c r="A30" s="11">
        <v>156</v>
      </c>
      <c r="B30" s="11">
        <v>75</v>
      </c>
      <c r="C30" s="11">
        <v>35</v>
      </c>
      <c r="D30" s="11" t="s">
        <v>104</v>
      </c>
      <c r="E30" s="11" t="s">
        <v>23</v>
      </c>
      <c r="G30">
        <f t="shared" si="8"/>
        <v>999999</v>
      </c>
      <c r="H30">
        <f t="shared" si="0"/>
        <v>156</v>
      </c>
      <c r="I30">
        <f t="shared" si="1"/>
        <v>2.08</v>
      </c>
      <c r="J30">
        <f t="shared" si="2"/>
        <v>0</v>
      </c>
      <c r="K30" s="22">
        <f t="shared" ca="1" si="9"/>
        <v>3</v>
      </c>
      <c r="L30">
        <f t="shared" si="3"/>
        <v>0</v>
      </c>
      <c r="M30">
        <f t="shared" si="4"/>
        <v>0</v>
      </c>
      <c r="N30">
        <f t="shared" si="5"/>
        <v>0</v>
      </c>
      <c r="O30" t="b">
        <f t="shared" si="6"/>
        <v>0</v>
      </c>
      <c r="P30">
        <f t="shared" si="7"/>
        <v>0</v>
      </c>
    </row>
    <row r="31" spans="1:16">
      <c r="A31" s="11">
        <v>185</v>
      </c>
      <c r="B31" s="11">
        <v>52</v>
      </c>
      <c r="C31" s="11">
        <v>62</v>
      </c>
      <c r="D31" s="11" t="s">
        <v>106</v>
      </c>
      <c r="E31" s="11" t="s">
        <v>102</v>
      </c>
      <c r="G31">
        <f t="shared" si="8"/>
        <v>52</v>
      </c>
      <c r="H31">
        <f t="shared" si="0"/>
        <v>999999</v>
      </c>
      <c r="I31">
        <f t="shared" si="1"/>
        <v>3.5576923076923075</v>
      </c>
      <c r="J31">
        <f t="shared" si="2"/>
        <v>0</v>
      </c>
      <c r="K31" s="22">
        <f t="shared" ca="1" si="9"/>
        <v>24125</v>
      </c>
      <c r="L31">
        <f t="shared" si="3"/>
        <v>1</v>
      </c>
      <c r="M31">
        <f t="shared" si="4"/>
        <v>0</v>
      </c>
      <c r="N31">
        <f t="shared" si="5"/>
        <v>0</v>
      </c>
      <c r="O31" t="b">
        <f t="shared" si="6"/>
        <v>1</v>
      </c>
      <c r="P31">
        <f t="shared" si="7"/>
        <v>0</v>
      </c>
    </row>
    <row r="32" spans="1:16">
      <c r="A32" s="11">
        <v>187</v>
      </c>
      <c r="B32" s="11">
        <v>92</v>
      </c>
      <c r="C32" s="11">
        <v>62</v>
      </c>
      <c r="D32" s="11" t="s">
        <v>106</v>
      </c>
      <c r="E32" s="11" t="s">
        <v>23</v>
      </c>
      <c r="G32">
        <f t="shared" si="8"/>
        <v>999999</v>
      </c>
      <c r="H32">
        <f t="shared" si="0"/>
        <v>187</v>
      </c>
      <c r="I32">
        <f t="shared" si="1"/>
        <v>2.0326086956521738</v>
      </c>
      <c r="J32">
        <f t="shared" si="2"/>
        <v>0</v>
      </c>
      <c r="K32" s="22">
        <f t="shared" ca="1" si="9"/>
        <v>22</v>
      </c>
      <c r="L32">
        <f t="shared" si="3"/>
        <v>1</v>
      </c>
      <c r="M32">
        <f t="shared" si="4"/>
        <v>0</v>
      </c>
      <c r="N32">
        <f t="shared" si="5"/>
        <v>0</v>
      </c>
      <c r="O32" t="b">
        <f t="shared" si="6"/>
        <v>1</v>
      </c>
      <c r="P32">
        <f t="shared" si="7"/>
        <v>0</v>
      </c>
    </row>
    <row r="33" spans="1:16">
      <c r="A33" s="11">
        <v>168</v>
      </c>
      <c r="B33" s="11">
        <v>52</v>
      </c>
      <c r="C33" s="11">
        <v>32</v>
      </c>
      <c r="D33" s="11" t="s">
        <v>101</v>
      </c>
      <c r="E33" s="11" t="s">
        <v>102</v>
      </c>
      <c r="G33">
        <f t="shared" si="8"/>
        <v>52</v>
      </c>
      <c r="H33">
        <f t="shared" si="0"/>
        <v>999999</v>
      </c>
      <c r="I33">
        <f t="shared" si="1"/>
        <v>3.2307692307692308</v>
      </c>
      <c r="J33">
        <f t="shared" si="2"/>
        <v>0</v>
      </c>
      <c r="K33" s="22">
        <f t="shared" ca="1" si="9"/>
        <v>71316</v>
      </c>
      <c r="L33">
        <f t="shared" si="3"/>
        <v>0</v>
      </c>
      <c r="M33">
        <f t="shared" si="4"/>
        <v>0</v>
      </c>
      <c r="N33">
        <f t="shared" si="5"/>
        <v>0</v>
      </c>
      <c r="O33" t="b">
        <f t="shared" si="6"/>
        <v>0</v>
      </c>
      <c r="P33">
        <f t="shared" si="7"/>
        <v>0</v>
      </c>
    </row>
    <row r="34" spans="1:16">
      <c r="A34" s="11">
        <v>195</v>
      </c>
      <c r="B34" s="11">
        <v>35</v>
      </c>
      <c r="C34" s="11">
        <v>12</v>
      </c>
      <c r="D34" s="11" t="s">
        <v>104</v>
      </c>
      <c r="E34" s="11" t="s">
        <v>23</v>
      </c>
      <c r="G34">
        <f t="shared" si="8"/>
        <v>999999</v>
      </c>
      <c r="H34">
        <f t="shared" si="0"/>
        <v>195</v>
      </c>
      <c r="I34">
        <f t="shared" si="1"/>
        <v>5.5714285714285712</v>
      </c>
      <c r="J34">
        <f t="shared" si="2"/>
        <v>0</v>
      </c>
      <c r="K34" s="22">
        <f t="shared" ca="1" si="9"/>
        <v>3</v>
      </c>
      <c r="L34">
        <f t="shared" si="3"/>
        <v>0</v>
      </c>
      <c r="M34">
        <f t="shared" si="4"/>
        <v>1</v>
      </c>
      <c r="N34">
        <f t="shared" si="5"/>
        <v>0</v>
      </c>
      <c r="O34" t="b">
        <f t="shared" si="6"/>
        <v>0</v>
      </c>
      <c r="P34">
        <f t="shared" si="7"/>
        <v>0</v>
      </c>
    </row>
    <row r="35" spans="1:16">
      <c r="A35" s="11">
        <v>110</v>
      </c>
      <c r="B35" s="11">
        <v>26</v>
      </c>
      <c r="C35" s="11">
        <v>5</v>
      </c>
      <c r="D35" s="11" t="s">
        <v>106</v>
      </c>
      <c r="E35" s="11" t="s">
        <v>23</v>
      </c>
      <c r="G35">
        <f t="shared" si="8"/>
        <v>999999</v>
      </c>
      <c r="H35">
        <f t="shared" si="0"/>
        <v>110</v>
      </c>
      <c r="I35">
        <f t="shared" si="1"/>
        <v>4.2307692307692308</v>
      </c>
      <c r="J35">
        <f t="shared" si="2"/>
        <v>0</v>
      </c>
      <c r="K35" s="22">
        <f t="shared" ca="1" si="9"/>
        <v>22</v>
      </c>
      <c r="L35">
        <f t="shared" si="3"/>
        <v>0</v>
      </c>
      <c r="M35">
        <f t="shared" si="4"/>
        <v>0</v>
      </c>
      <c r="N35">
        <f t="shared" si="5"/>
        <v>0</v>
      </c>
      <c r="O35" t="b">
        <f t="shared" si="6"/>
        <v>0</v>
      </c>
      <c r="P35">
        <f t="shared" si="7"/>
        <v>0</v>
      </c>
    </row>
    <row r="36" spans="1:16">
      <c r="A36" s="11">
        <v>186</v>
      </c>
      <c r="B36" s="11">
        <v>62</v>
      </c>
      <c r="C36" s="11">
        <v>25</v>
      </c>
      <c r="D36" s="11" t="s">
        <v>105</v>
      </c>
      <c r="E36" s="11" t="s">
        <v>102</v>
      </c>
      <c r="G36">
        <f t="shared" si="8"/>
        <v>62</v>
      </c>
      <c r="H36">
        <f t="shared" si="0"/>
        <v>999999</v>
      </c>
      <c r="I36">
        <f t="shared" si="1"/>
        <v>3</v>
      </c>
      <c r="J36">
        <f t="shared" si="2"/>
        <v>0</v>
      </c>
      <c r="K36" s="22">
        <f t="shared" ca="1" si="9"/>
        <v>74841</v>
      </c>
      <c r="L36">
        <f t="shared" si="3"/>
        <v>0</v>
      </c>
      <c r="M36">
        <f t="shared" si="4"/>
        <v>0</v>
      </c>
      <c r="N36">
        <f t="shared" si="5"/>
        <v>0</v>
      </c>
      <c r="O36" t="b">
        <f t="shared" si="6"/>
        <v>0</v>
      </c>
      <c r="P36">
        <f t="shared" si="7"/>
        <v>0</v>
      </c>
    </row>
    <row r="37" spans="1:16">
      <c r="A37" s="11">
        <v>185</v>
      </c>
      <c r="B37" s="11">
        <v>42</v>
      </c>
      <c r="C37" s="11">
        <v>16</v>
      </c>
      <c r="D37" s="11" t="s">
        <v>104</v>
      </c>
      <c r="E37" s="11" t="s">
        <v>102</v>
      </c>
      <c r="G37">
        <f t="shared" si="8"/>
        <v>42</v>
      </c>
      <c r="H37">
        <f t="shared" si="0"/>
        <v>999999</v>
      </c>
      <c r="I37">
        <f t="shared" si="1"/>
        <v>4.4047619047619051</v>
      </c>
      <c r="J37">
        <f t="shared" si="2"/>
        <v>1</v>
      </c>
      <c r="K37" s="22">
        <f t="shared" ca="1" si="9"/>
        <v>57547</v>
      </c>
      <c r="L37">
        <f t="shared" si="3"/>
        <v>0</v>
      </c>
      <c r="M37">
        <f t="shared" si="4"/>
        <v>0</v>
      </c>
      <c r="N37">
        <f t="shared" si="5"/>
        <v>0</v>
      </c>
      <c r="O37" t="b">
        <f t="shared" si="6"/>
        <v>0</v>
      </c>
      <c r="P37">
        <f t="shared" si="7"/>
        <v>0</v>
      </c>
    </row>
    <row r="38" spans="1:16">
      <c r="A38" s="11">
        <v>180</v>
      </c>
      <c r="B38" s="11">
        <v>62</v>
      </c>
      <c r="C38" s="11">
        <v>32</v>
      </c>
      <c r="D38" s="11" t="s">
        <v>104</v>
      </c>
      <c r="E38" s="11" t="s">
        <v>102</v>
      </c>
      <c r="G38">
        <f t="shared" si="8"/>
        <v>62</v>
      </c>
      <c r="H38">
        <f t="shared" si="0"/>
        <v>999999</v>
      </c>
      <c r="I38">
        <f t="shared" si="1"/>
        <v>2.903225806451613</v>
      </c>
      <c r="J38">
        <f t="shared" si="2"/>
        <v>1</v>
      </c>
      <c r="K38" s="22">
        <f t="shared" ca="1" si="9"/>
        <v>97069</v>
      </c>
      <c r="L38">
        <f t="shared" si="3"/>
        <v>0</v>
      </c>
      <c r="M38">
        <f t="shared" si="4"/>
        <v>0</v>
      </c>
      <c r="N38">
        <f t="shared" si="5"/>
        <v>0</v>
      </c>
      <c r="O38" t="b">
        <f t="shared" si="6"/>
        <v>0</v>
      </c>
      <c r="P38">
        <f t="shared" si="7"/>
        <v>0</v>
      </c>
    </row>
    <row r="39" spans="1:16">
      <c r="A39" s="11">
        <v>194</v>
      </c>
      <c r="B39" s="11">
        <v>84</v>
      </c>
      <c r="C39" s="11">
        <v>52</v>
      </c>
      <c r="D39" s="11" t="s">
        <v>105</v>
      </c>
      <c r="E39" s="11" t="s">
        <v>23</v>
      </c>
      <c r="G39">
        <f t="shared" si="8"/>
        <v>999999</v>
      </c>
      <c r="H39">
        <f t="shared" si="0"/>
        <v>194</v>
      </c>
      <c r="I39">
        <f t="shared" si="1"/>
        <v>2.3095238095238093</v>
      </c>
      <c r="J39">
        <f t="shared" si="2"/>
        <v>0</v>
      </c>
      <c r="K39" s="22">
        <f t="shared" ca="1" si="9"/>
        <v>1</v>
      </c>
      <c r="L39">
        <f t="shared" si="3"/>
        <v>1</v>
      </c>
      <c r="M39">
        <f t="shared" si="4"/>
        <v>0</v>
      </c>
      <c r="N39">
        <f t="shared" si="5"/>
        <v>0</v>
      </c>
      <c r="O39" t="b">
        <f t="shared" si="6"/>
        <v>0</v>
      </c>
      <c r="P39">
        <f t="shared" si="7"/>
        <v>0</v>
      </c>
    </row>
    <row r="40" spans="1:16">
      <c r="A40" s="11">
        <v>165</v>
      </c>
      <c r="B40" s="11">
        <v>48</v>
      </c>
      <c r="C40" s="11">
        <v>18</v>
      </c>
      <c r="D40" s="11" t="s">
        <v>101</v>
      </c>
      <c r="E40" s="11" t="s">
        <v>23</v>
      </c>
      <c r="G40">
        <f t="shared" si="8"/>
        <v>999999</v>
      </c>
      <c r="H40">
        <f t="shared" si="0"/>
        <v>165</v>
      </c>
      <c r="I40">
        <f t="shared" si="1"/>
        <v>3.4375</v>
      </c>
      <c r="J40">
        <f t="shared" si="2"/>
        <v>0</v>
      </c>
      <c r="K40" s="22">
        <f t="shared" ca="1" si="9"/>
        <v>9</v>
      </c>
      <c r="L40">
        <f t="shared" si="3"/>
        <v>0</v>
      </c>
      <c r="M40">
        <f t="shared" si="4"/>
        <v>1</v>
      </c>
      <c r="N40">
        <f t="shared" si="5"/>
        <v>0</v>
      </c>
      <c r="O40" t="b">
        <f t="shared" si="6"/>
        <v>0</v>
      </c>
      <c r="P40">
        <f t="shared" si="7"/>
        <v>0</v>
      </c>
    </row>
    <row r="41" spans="1:16">
      <c r="A41" s="11">
        <v>215</v>
      </c>
      <c r="B41" s="11">
        <v>135</v>
      </c>
      <c r="C41" s="11">
        <v>80</v>
      </c>
      <c r="D41" s="11" t="s">
        <v>106</v>
      </c>
      <c r="E41" s="11" t="s">
        <v>102</v>
      </c>
      <c r="G41">
        <f t="shared" si="8"/>
        <v>135</v>
      </c>
      <c r="H41">
        <f t="shared" si="0"/>
        <v>999999</v>
      </c>
      <c r="I41">
        <f t="shared" si="1"/>
        <v>1.5925925925925926</v>
      </c>
      <c r="J41">
        <f t="shared" si="2"/>
        <v>0</v>
      </c>
      <c r="K41" s="22">
        <f t="shared" ca="1" si="9"/>
        <v>89548</v>
      </c>
      <c r="L41">
        <f t="shared" si="3"/>
        <v>1</v>
      </c>
      <c r="M41">
        <f t="shared" si="4"/>
        <v>0</v>
      </c>
      <c r="N41">
        <f t="shared" si="5"/>
        <v>0</v>
      </c>
      <c r="O41" t="b">
        <f t="shared" si="6"/>
        <v>1</v>
      </c>
      <c r="P41">
        <f t="shared" si="7"/>
        <v>0</v>
      </c>
    </row>
    <row r="43" spans="1:16">
      <c r="A43" s="17">
        <f>INDEX(A2:A41,MATCH(MAX(B2:B41),B2:B41,0),1,1)</f>
        <v>157</v>
      </c>
      <c r="B43" s="17">
        <f t="array" ref="B43">INDEX(B2:B41,MATCH(MAX(A2:A41),A2:A41,0),1,1)</f>
        <v>135</v>
      </c>
      <c r="C43" s="17">
        <f>AVERAGEIF(D2:D41,"голубой",C2:C41)</f>
        <v>22.9</v>
      </c>
      <c r="D43" s="17">
        <f>SUM(L2:L41)</f>
        <v>8</v>
      </c>
      <c r="E43" s="17">
        <f>AVERAGEIF(O2:O41,TRUE,A2:A41)</f>
        <v>184.66666666666666</v>
      </c>
    </row>
    <row r="44" spans="1:16">
      <c r="A44" s="17">
        <f t="array" ref="A44">INDEX(A2:A41,MATCH(MIN(G2:G41)&amp;"м",B2:B41&amp;E2:E41,0),1,1)</f>
        <v>40</v>
      </c>
      <c r="B44" s="17">
        <f t="array" ref="B44">INDEX(B2:B41,MATCH(MIN(H2:H41)&amp;"ж",A2:A41&amp;E2:E41,0),1,1)</f>
        <v>26</v>
      </c>
      <c r="C44" s="17">
        <f>AVERAGEIF(J2:J41,1,C2:C41)</f>
        <v>22.428571428571427</v>
      </c>
      <c r="D44" s="17">
        <f>SUM(M2:M41)</f>
        <v>4</v>
      </c>
      <c r="E44" s="17">
        <f>AVERAGEIF(P2:P41,1,C2:C41)</f>
        <v>49.5</v>
      </c>
    </row>
    <row r="45" spans="1:16">
      <c r="A45" s="17">
        <f>INDEX(C2:C41,MATCH(MIN(I2:I41),I2:I41,0),1,1)</f>
        <v>42</v>
      </c>
      <c r="B45" s="17">
        <f>INDEX(C2:C41,MATCH(MAX(I2:I41),I2:I41,0),1,1)</f>
        <v>2</v>
      </c>
      <c r="C45" s="17" t="str">
        <f ca="1">INDEX(D2:D41,MODE(K2:K41),1)</f>
        <v>карий</v>
      </c>
      <c r="D45" s="17">
        <f>SUM(N2:N41)</f>
        <v>1</v>
      </c>
      <c r="E45" s="17">
        <f ca="1">IF(DAY(TODAY())&gt;3,(YEAR(TODAY())-YEAR(DATE(1994,12,3)))*12+MONTH(TODAY())-MONTH(DATE(1994,12,3)),(YEAR(TODAY())-YEAR(DATE(1994,12,3)))*12+MONTH(TODAY())-MONTH(DATE(1994,12,3))-1)</f>
        <v>216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Валютные изменения</vt:lpstr>
      <vt:lpstr>Учет расходов на приобр. краски</vt:lpstr>
      <vt:lpstr>Диаграммы</vt:lpstr>
      <vt:lpstr>Призывная комиссия</vt:lpstr>
      <vt:lpstr>Конфеты</vt:lpstr>
      <vt:lpstr>Повышенная сложность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2012-12-10T08:37:16Z</dcterms:created>
  <dcterms:modified xsi:type="dcterms:W3CDTF">2012-12-14T00:24:58Z</dcterms:modified>
</cp:coreProperties>
</file>