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26" i="1" l="1"/>
  <c r="J26" i="1" s="1"/>
  <c r="H8" i="1" s="1"/>
  <c r="I29" i="1"/>
  <c r="I32" i="1"/>
  <c r="I35" i="1"/>
  <c r="I23" i="1"/>
  <c r="J23" i="1" s="1"/>
  <c r="H5" i="1" s="1"/>
  <c r="J29" i="1"/>
  <c r="H11" i="1" s="1"/>
  <c r="J32" i="1"/>
  <c r="H14" i="1" s="1"/>
  <c r="H29" i="1"/>
  <c r="H32" i="1"/>
  <c r="H35" i="1"/>
  <c r="H26" i="1"/>
  <c r="F29" i="1"/>
  <c r="F32" i="1"/>
  <c r="F35" i="1"/>
  <c r="F26" i="1"/>
  <c r="L4" i="1"/>
  <c r="L5" i="1"/>
  <c r="L7" i="1"/>
  <c r="L8" i="1"/>
  <c r="L9" i="1"/>
  <c r="L3" i="1"/>
  <c r="L10" i="1" s="1"/>
  <c r="J50" i="1"/>
  <c r="J49" i="1"/>
  <c r="J48" i="1"/>
  <c r="J47" i="1"/>
  <c r="J46" i="1"/>
  <c r="J45" i="1"/>
  <c r="J44" i="1"/>
  <c r="J43" i="1"/>
  <c r="J42" i="1"/>
  <c r="M35" i="1"/>
  <c r="M36" i="1"/>
  <c r="M37" i="1"/>
  <c r="M38" i="1"/>
  <c r="M34" i="1"/>
  <c r="E24" i="1"/>
  <c r="E25" i="1"/>
  <c r="E23" i="1"/>
  <c r="G23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J35" i="1" l="1"/>
  <c r="H17" i="1" s="1"/>
  <c r="N34" i="1"/>
  <c r="G17" i="1"/>
  <c r="G5" i="1"/>
  <c r="L14" i="1" s="1"/>
  <c r="G8" i="1"/>
  <c r="G26" i="1" s="1"/>
  <c r="G11" i="1"/>
  <c r="G14" i="1"/>
  <c r="G32" i="1" l="1"/>
  <c r="G35" i="1"/>
  <c r="G29" i="1"/>
</calcChain>
</file>

<file path=xl/sharedStrings.xml><?xml version="1.0" encoding="utf-8"?>
<sst xmlns="http://schemas.openxmlformats.org/spreadsheetml/2006/main" count="71" uniqueCount="31">
  <si>
    <t>Ртутная лампа</t>
  </si>
  <si>
    <t>I, A</t>
  </si>
  <si>
    <t>U0, В</t>
  </si>
  <si>
    <t>U откр, мВ</t>
  </si>
  <si>
    <t>U закр, мВ</t>
  </si>
  <si>
    <t>delta U, мВ</t>
  </si>
  <si>
    <t>K_lambda</t>
  </si>
  <si>
    <t>K=deltaU_ср</t>
  </si>
  <si>
    <t>Лампа накаливания</t>
  </si>
  <si>
    <t>I, А</t>
  </si>
  <si>
    <t>Lambda = 546 нм</t>
  </si>
  <si>
    <t>Пиромерт</t>
  </si>
  <si>
    <t>t, C</t>
  </si>
  <si>
    <t>t, K</t>
  </si>
  <si>
    <t>t_ср, К</t>
  </si>
  <si>
    <t>Т, К</t>
  </si>
  <si>
    <t>r_lambdaT, Дж/м^3с</t>
  </si>
  <si>
    <t>alpha_lambdaT</t>
  </si>
  <si>
    <t>dlambda/dl</t>
  </si>
  <si>
    <t>Aij</t>
  </si>
  <si>
    <t>h</t>
  </si>
  <si>
    <t>delta L, м</t>
  </si>
  <si>
    <t>delta x, м</t>
  </si>
  <si>
    <t>c, м/с</t>
  </si>
  <si>
    <t>mu, Гц</t>
  </si>
  <si>
    <t>lambda, м</t>
  </si>
  <si>
    <t>ni</t>
  </si>
  <si>
    <t>Тя, К</t>
  </si>
  <si>
    <t>T, К</t>
  </si>
  <si>
    <t>Kсп=deltaU_ср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</si>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</sst>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E+00"/>
    <numFmt numFmtId="166" formatCode="0.E+00"/>
    <numFmt numFmtId="168" formatCode="0.00000E+00"/>
    <numFmt numFmtId="171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3" borderId="2" xfId="2" applyFont="1" applyAlignment="1">
      <alignment horizontal="center" vertical="center"/>
    </xf>
    <xf numFmtId="0" fontId="0" fillId="3" borderId="2" xfId="2" applyFont="1" applyAlignment="1">
      <alignment horizontal="center" vertical="center"/>
    </xf>
    <xf numFmtId="164" fontId="0" fillId="0" borderId="0" xfId="0" applyNumberFormat="1"/>
    <xf numFmtId="0" fontId="0" fillId="3" borderId="4" xfId="2" applyFont="1" applyBorder="1" applyAlignment="1">
      <alignment horizontal="center" vertical="center"/>
    </xf>
    <xf numFmtId="0" fontId="0" fillId="3" borderId="5" xfId="2" applyFont="1" applyBorder="1" applyAlignment="1">
      <alignment horizontal="center" vertical="center"/>
    </xf>
    <xf numFmtId="0" fontId="0" fillId="3" borderId="2" xfId="2" applyFont="1"/>
    <xf numFmtId="0" fontId="0" fillId="3" borderId="6" xfId="2" applyFont="1" applyBorder="1" applyAlignment="1">
      <alignment horizontal="center" vertical="center"/>
    </xf>
    <xf numFmtId="0" fontId="0" fillId="3" borderId="3" xfId="2" applyFont="1" applyBorder="1" applyAlignment="1">
      <alignment horizontal="center" vertical="center"/>
    </xf>
    <xf numFmtId="0" fontId="0" fillId="3" borderId="7" xfId="2" applyFont="1" applyBorder="1" applyAlignment="1">
      <alignment horizontal="center" vertical="center"/>
    </xf>
    <xf numFmtId="165" fontId="0" fillId="0" borderId="0" xfId="0" applyNumberFormat="1"/>
    <xf numFmtId="165" fontId="0" fillId="3" borderId="2" xfId="2" applyNumberFormat="1" applyFont="1" applyAlignment="1">
      <alignment horizontal="center" vertical="center"/>
    </xf>
    <xf numFmtId="11" fontId="0" fillId="3" borderId="2" xfId="2" applyNumberFormat="1" applyFont="1" applyAlignment="1">
      <alignment horizontal="center" vertical="center"/>
    </xf>
    <xf numFmtId="166" fontId="0" fillId="3" borderId="2" xfId="2" applyNumberFormat="1" applyFont="1" applyAlignment="1">
      <alignment horizontal="center" vertical="center"/>
    </xf>
    <xf numFmtId="168" fontId="0" fillId="3" borderId="2" xfId="2" applyNumberFormat="1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2" fillId="2" borderId="1" xfId="1" applyAlignment="1">
      <alignment horizontal="center" vertical="center"/>
    </xf>
    <xf numFmtId="171" fontId="2" fillId="2" borderId="1" xfId="1" applyNumberFormat="1" applyAlignment="1">
      <alignment horizontal="center" vertical="center"/>
    </xf>
    <xf numFmtId="165" fontId="0" fillId="3" borderId="2" xfId="2" applyNumberFormat="1" applyFont="1" applyAlignment="1">
      <alignment horizontal="center" vertical="center"/>
    </xf>
    <xf numFmtId="165" fontId="2" fillId="2" borderId="1" xfId="1" applyNumberFormat="1" applyAlignment="1">
      <alignment horizontal="center" vertical="center"/>
    </xf>
    <xf numFmtId="1" fontId="2" fillId="2" borderId="1" xfId="1" applyNumberFormat="1" applyAlignment="1">
      <alignment horizontal="center" vertical="center"/>
    </xf>
  </cellXfs>
  <cellStyles count="3">
    <cellStyle name="Вычисление" xfId="1" builtinId="22"/>
    <cellStyle name="Обычный" xfId="0" builtinId="0"/>
    <cellStyle name="Примечание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Неведомая йухня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7964937242344282E-2"/>
                  <c:y val="0.26011858175992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Лист1!$I$42:$I$50</c:f>
              <c:numCache>
                <c:formatCode>General</c:formatCode>
                <c:ptCount val="9"/>
                <c:pt idx="0">
                  <c:v>1600</c:v>
                </c:pt>
                <c:pt idx="1">
                  <c:v>1700</c:v>
                </c:pt>
                <c:pt idx="2">
                  <c:v>1800</c:v>
                </c:pt>
                <c:pt idx="3">
                  <c:v>1900</c:v>
                </c:pt>
                <c:pt idx="4">
                  <c:v>2000</c:v>
                </c:pt>
                <c:pt idx="5">
                  <c:v>2100</c:v>
                </c:pt>
                <c:pt idx="6">
                  <c:v>2200</c:v>
                </c:pt>
                <c:pt idx="7">
                  <c:v>2300</c:v>
                </c:pt>
                <c:pt idx="8">
                  <c:v>2400</c:v>
                </c:pt>
              </c:numCache>
            </c:numRef>
          </c:xVal>
          <c:yVal>
            <c:numRef>
              <c:f>Лист1!$J$42:$J$50</c:f>
              <c:numCache>
                <c:formatCode>0.0E+00</c:formatCode>
                <c:ptCount val="9"/>
                <c:pt idx="0">
                  <c:v>550000000</c:v>
                </c:pt>
                <c:pt idx="1">
                  <c:v>1300000000</c:v>
                </c:pt>
                <c:pt idx="2">
                  <c:v>3500000000</c:v>
                </c:pt>
                <c:pt idx="3">
                  <c:v>5600000000</c:v>
                </c:pt>
                <c:pt idx="4">
                  <c:v>20000000000</c:v>
                </c:pt>
                <c:pt idx="5">
                  <c:v>40000000000</c:v>
                </c:pt>
                <c:pt idx="6">
                  <c:v>49000000000</c:v>
                </c:pt>
                <c:pt idx="7">
                  <c:v>160000000000</c:v>
                </c:pt>
                <c:pt idx="8">
                  <c:v>250000000000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3520"/>
        <c:axId val="207884080"/>
      </c:scatterChart>
      <c:valAx>
        <c:axId val="20788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4080"/>
        <c:crosses val="autoZero"/>
        <c:crossBetween val="midCat"/>
      </c:valAx>
      <c:valAx>
        <c:axId val="207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Неведомая</a:t>
            </a:r>
            <a:r>
              <a:rPr lang="ru-RU" baseline="0"/>
              <a:t> йухня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(Лист1!$B$5,Лист1!$B$8,Лист1!$B$11,Лист1!$B$14,Лист1!$B$17)</c:f>
              <c:numCache>
                <c:formatCode>General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</c:numCache>
            </c:numRef>
          </c:xVal>
          <c:yVal>
            <c:numRef>
              <c:f>(Лист1!$H$5,Лист1!$H$8,Лист1!$H$11,Лист1!$H$14,Лист1!$H$17)</c:f>
              <c:numCache>
                <c:formatCode>0.00000E+00</c:formatCode>
                <c:ptCount val="5"/>
                <c:pt idx="0">
                  <c:v>1.106991064749129E+17</c:v>
                </c:pt>
                <c:pt idx="1">
                  <c:v>2.1966080961181213E+19</c:v>
                </c:pt>
                <c:pt idx="2">
                  <c:v>4.3587408079261454E+21</c:v>
                </c:pt>
                <c:pt idx="3">
                  <c:v>8.6490719324286327E+23</c:v>
                </c:pt>
                <c:pt idx="4">
                  <c:v>1.7162398176164334E+26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178224"/>
        <c:axId val="207528000"/>
      </c:scatterChart>
      <c:valAx>
        <c:axId val="207178224"/>
        <c:scaling>
          <c:orientation val="minMax"/>
          <c:min val="0.2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528000"/>
        <c:crosses val="autoZero"/>
        <c:crossBetween val="midCat"/>
      </c:valAx>
      <c:valAx>
        <c:axId val="207528000"/>
        <c:scaling>
          <c:orientation val="minMax"/>
          <c:max val="2E+22"/>
        </c:scaling>
        <c:delete val="0"/>
        <c:axPos val="l"/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1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Лист1!$M$43:$M$48</c:f>
              <c:numCache>
                <c:formatCode>General</c:formatCode>
                <c:ptCount val="6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1400</c:v>
                </c:pt>
                <c:pt idx="4">
                  <c:v>1600</c:v>
                </c:pt>
                <c:pt idx="5">
                  <c:v>1800</c:v>
                </c:pt>
              </c:numCache>
            </c:numRef>
          </c:xVal>
          <c:yVal>
            <c:numRef>
              <c:f>Лист1!$N$43:$N$48</c:f>
              <c:numCache>
                <c:formatCode>General</c:formatCode>
                <c:ptCount val="6"/>
                <c:pt idx="0">
                  <c:v>1100</c:v>
                </c:pt>
                <c:pt idx="1">
                  <c:v>1400</c:v>
                </c:pt>
                <c:pt idx="2">
                  <c:v>1600</c:v>
                </c:pt>
                <c:pt idx="3">
                  <c:v>1900</c:v>
                </c:pt>
                <c:pt idx="4">
                  <c:v>2100</c:v>
                </c:pt>
                <c:pt idx="5">
                  <c:v>2400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94896"/>
        <c:axId val="303697696"/>
      </c:scatterChart>
      <c:valAx>
        <c:axId val="3036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97696"/>
        <c:crosses val="autoZero"/>
        <c:crossBetween val="midCat"/>
      </c:valAx>
      <c:valAx>
        <c:axId val="3036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6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38</xdr:row>
      <xdr:rowOff>95250</xdr:rowOff>
    </xdr:from>
    <xdr:to>
      <xdr:col>7</xdr:col>
      <xdr:colOff>714375</xdr:colOff>
      <xdr:row>54</xdr:row>
      <xdr:rowOff>104776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499223</xdr:colOff>
      <xdr:row>0</xdr:row>
      <xdr:rowOff>136990</xdr:rowOff>
    </xdr:from>
    <xdr:to>
      <xdr:col>28</xdr:col>
      <xdr:colOff>281828</xdr:colOff>
      <xdr:row>30</xdr:row>
      <xdr:rowOff>46504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974912</xdr:colOff>
      <xdr:row>39</xdr:row>
      <xdr:rowOff>90767</xdr:rowOff>
    </xdr:from>
    <xdr:to>
      <xdr:col>21</xdr:col>
      <xdr:colOff>78441</xdr:colOff>
      <xdr:row>53</xdr:row>
      <xdr:rowOff>166967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tabSelected="1" topLeftCell="C1" zoomScale="85" zoomScaleNormal="85" workbookViewId="0">
      <selection activeCell="L10" sqref="L10"/>
    </sheetView>
  </sheetViews>
  <sheetFormatPr defaultRowHeight="15" x14ac:dyDescent="0.25"/>
  <cols>
    <col min="2" max="2" width="9.140625" style="1"/>
    <col min="3" max="3" width="10.7109375" style="1" customWidth="1"/>
    <col min="4" max="4" width="11.85546875" style="1" customWidth="1"/>
    <col min="5" max="5" width="12" style="1" customWidth="1"/>
    <col min="6" max="6" width="9.140625" style="1"/>
    <col min="7" max="7" width="13.5703125" customWidth="1"/>
    <col min="8" max="8" width="13" customWidth="1"/>
    <col min="9" max="9" width="8.140625" customWidth="1"/>
    <col min="10" max="10" width="20" style="11" customWidth="1"/>
    <col min="11" max="11" width="17.85546875" customWidth="1"/>
    <col min="13" max="13" width="15.85546875" customWidth="1"/>
    <col min="14" max="14" width="15.5703125" style="1" customWidth="1"/>
    <col min="15" max="15" width="12" style="1" bestFit="1" customWidth="1"/>
  </cols>
  <sheetData>
    <row r="2" spans="2:14" x14ac:dyDescent="0.25">
      <c r="B2" s="2" t="s">
        <v>0</v>
      </c>
      <c r="C2" s="2"/>
      <c r="D2" s="2"/>
      <c r="E2" s="2"/>
      <c r="F2" s="2"/>
      <c r="G2" s="2"/>
      <c r="H2" s="2"/>
    </row>
    <row r="3" spans="2:14" x14ac:dyDescent="0.25">
      <c r="B3" s="2" t="s">
        <v>10</v>
      </c>
      <c r="C3" s="2"/>
      <c r="D3" s="2"/>
      <c r="E3" s="2"/>
      <c r="F3" s="2"/>
      <c r="G3" s="2"/>
      <c r="H3" s="2"/>
      <c r="K3" s="3" t="s">
        <v>25</v>
      </c>
      <c r="L3" s="13">
        <f>546*POWER(10,-9)</f>
        <v>5.4600000000000005E-7</v>
      </c>
    </row>
    <row r="4" spans="2:14" x14ac:dyDescent="0.25">
      <c r="B4" s="3" t="s">
        <v>1</v>
      </c>
      <c r="C4" s="3" t="s">
        <v>3</v>
      </c>
      <c r="D4" s="3" t="s">
        <v>4</v>
      </c>
      <c r="E4" s="3" t="s">
        <v>5</v>
      </c>
      <c r="F4" s="3" t="s">
        <v>2</v>
      </c>
      <c r="G4" s="3" t="s">
        <v>7</v>
      </c>
      <c r="H4" s="3" t="s">
        <v>26</v>
      </c>
      <c r="K4" s="3" t="s">
        <v>21</v>
      </c>
      <c r="L4" s="12">
        <f>1.5*POWER(10,-3)</f>
        <v>1.5E-3</v>
      </c>
    </row>
    <row r="5" spans="2:14" x14ac:dyDescent="0.25">
      <c r="B5" s="2">
        <v>0.3</v>
      </c>
      <c r="C5" s="3">
        <v>86</v>
      </c>
      <c r="D5" s="3">
        <v>9</v>
      </c>
      <c r="E5" s="3">
        <f>C5-D5</f>
        <v>77</v>
      </c>
      <c r="F5" s="2">
        <v>100</v>
      </c>
      <c r="G5" s="2">
        <f>AVERAGE(E5:E7)</f>
        <v>77</v>
      </c>
      <c r="H5" s="15">
        <f>(4*$L$14*J23*$L$6*$L$4*$L$7)/($L$9*$L$10*$L$8*$L$5)</f>
        <v>1.106991064749129E+17</v>
      </c>
      <c r="K5" s="3" t="s">
        <v>22</v>
      </c>
      <c r="L5" s="14">
        <f>20*POWER(10,-3)</f>
        <v>0.02</v>
      </c>
    </row>
    <row r="6" spans="2:14" x14ac:dyDescent="0.25">
      <c r="B6" s="2"/>
      <c r="C6" s="3">
        <v>85</v>
      </c>
      <c r="D6" s="3">
        <v>8.9</v>
      </c>
      <c r="E6" s="3">
        <f t="shared" ref="E6:E19" si="0">C6-D6</f>
        <v>76.099999999999994</v>
      </c>
      <c r="F6" s="2"/>
      <c r="G6" s="2"/>
      <c r="H6" s="15"/>
      <c r="K6" s="3" t="s">
        <v>17</v>
      </c>
      <c r="L6" s="3">
        <v>0.45</v>
      </c>
    </row>
    <row r="7" spans="2:14" x14ac:dyDescent="0.25">
      <c r="B7" s="2"/>
      <c r="C7" s="3">
        <v>87</v>
      </c>
      <c r="D7" s="3">
        <v>9.1</v>
      </c>
      <c r="E7" s="3">
        <f t="shared" si="0"/>
        <v>77.900000000000006</v>
      </c>
      <c r="F7" s="2"/>
      <c r="G7" s="2"/>
      <c r="H7" s="15"/>
      <c r="K7" s="3" t="s">
        <v>18</v>
      </c>
      <c r="L7" s="13">
        <f>115*POWER(10,-10)/POWER(10,-3)</f>
        <v>1.15E-5</v>
      </c>
    </row>
    <row r="8" spans="2:14" x14ac:dyDescent="0.25">
      <c r="B8" s="2">
        <v>0.4</v>
      </c>
      <c r="C8" s="3">
        <v>94</v>
      </c>
      <c r="D8" s="3">
        <v>8.6</v>
      </c>
      <c r="E8" s="3">
        <f t="shared" si="0"/>
        <v>85.4</v>
      </c>
      <c r="F8" s="2">
        <v>130</v>
      </c>
      <c r="G8" s="2">
        <f t="shared" ref="G8" si="1">AVERAGE(E8:E10)</f>
        <v>85.5</v>
      </c>
      <c r="H8" s="15">
        <f>(4*$L$14*J26*$L$6*$L$4*$L$7)/($L$9*$L$10*$L$8*$L$5)</f>
        <v>2.1966080961181213E+19</v>
      </c>
      <c r="K8" s="3" t="s">
        <v>19</v>
      </c>
      <c r="L8" s="14">
        <f>6*POWER(10,7)</f>
        <v>60000000</v>
      </c>
    </row>
    <row r="9" spans="2:14" x14ac:dyDescent="0.25">
      <c r="B9" s="2"/>
      <c r="C9" s="3">
        <v>94.1</v>
      </c>
      <c r="D9" s="3">
        <v>8.5</v>
      </c>
      <c r="E9" s="3">
        <f t="shared" si="0"/>
        <v>85.6</v>
      </c>
      <c r="F9" s="2"/>
      <c r="G9" s="2"/>
      <c r="H9" s="15"/>
      <c r="K9" s="3" t="s">
        <v>20</v>
      </c>
      <c r="L9" s="3">
        <f>6.6*POWER(10,-34)</f>
        <v>6.6000000000000005E-34</v>
      </c>
    </row>
    <row r="10" spans="2:14" x14ac:dyDescent="0.25">
      <c r="B10" s="2"/>
      <c r="C10" s="3">
        <v>93.9</v>
      </c>
      <c r="D10" s="3">
        <v>8.4</v>
      </c>
      <c r="E10" s="3">
        <f t="shared" si="0"/>
        <v>85.5</v>
      </c>
      <c r="F10" s="2"/>
      <c r="G10" s="2"/>
      <c r="H10" s="15"/>
      <c r="K10" s="3" t="s">
        <v>24</v>
      </c>
      <c r="L10" s="12">
        <f>L11/L3</f>
        <v>549450549450549.37</v>
      </c>
      <c r="N10" s="12"/>
    </row>
    <row r="11" spans="2:14" x14ac:dyDescent="0.25">
      <c r="B11" s="2">
        <v>0.5</v>
      </c>
      <c r="C11" s="3">
        <v>103.5</v>
      </c>
      <c r="D11" s="3">
        <v>8.4</v>
      </c>
      <c r="E11" s="3">
        <f t="shared" si="0"/>
        <v>95.1</v>
      </c>
      <c r="F11" s="2">
        <v>156</v>
      </c>
      <c r="G11" s="2">
        <f t="shared" ref="G11" si="2">AVERAGE(E11:E13)</f>
        <v>95</v>
      </c>
      <c r="H11" s="15">
        <f>(4*$L$14*J29*$L$6*$L$4*$L$7)/($L$9*$L$10*$L$8*$L$5)</f>
        <v>4.3587408079261454E+21</v>
      </c>
      <c r="K11" s="3" t="s">
        <v>23</v>
      </c>
      <c r="L11" s="14">
        <v>300000000</v>
      </c>
      <c r="N11" s="14"/>
    </row>
    <row r="12" spans="2:14" x14ac:dyDescent="0.25">
      <c r="B12" s="2"/>
      <c r="C12" s="3">
        <v>103.6</v>
      </c>
      <c r="D12" s="3">
        <v>8.5</v>
      </c>
      <c r="E12" s="3">
        <f t="shared" si="0"/>
        <v>95.1</v>
      </c>
      <c r="F12" s="2"/>
      <c r="G12" s="2"/>
      <c r="H12" s="15"/>
    </row>
    <row r="13" spans="2:14" x14ac:dyDescent="0.25">
      <c r="B13" s="2"/>
      <c r="C13" s="3">
        <v>103.4</v>
      </c>
      <c r="D13" s="3">
        <v>8.6</v>
      </c>
      <c r="E13" s="3">
        <f t="shared" si="0"/>
        <v>94.800000000000011</v>
      </c>
      <c r="F13" s="2"/>
      <c r="G13" s="2"/>
      <c r="H13" s="15"/>
    </row>
    <row r="14" spans="2:14" x14ac:dyDescent="0.25">
      <c r="B14" s="2">
        <v>0.6</v>
      </c>
      <c r="C14" s="3">
        <v>113</v>
      </c>
      <c r="D14" s="3">
        <v>8.4</v>
      </c>
      <c r="E14" s="3">
        <f t="shared" si="0"/>
        <v>104.6</v>
      </c>
      <c r="F14" s="2">
        <v>183</v>
      </c>
      <c r="G14" s="2">
        <f t="shared" ref="G14" si="3">AVERAGE(E14:E16)</f>
        <v>104.5</v>
      </c>
      <c r="H14" s="15">
        <f>(4*$L$14*J32*$L$6*$L$4*$L$7)/($L$9*$L$10*$L$8*$L$5)</f>
        <v>8.6490719324286327E+23</v>
      </c>
      <c r="K14" s="17" t="s">
        <v>6</v>
      </c>
      <c r="L14" s="21">
        <f>G5/G23</f>
        <v>32.083333333333329</v>
      </c>
    </row>
    <row r="15" spans="2:14" x14ac:dyDescent="0.25">
      <c r="B15" s="2"/>
      <c r="C15" s="3">
        <v>112.9</v>
      </c>
      <c r="D15" s="3">
        <v>8.5</v>
      </c>
      <c r="E15" s="3">
        <f t="shared" si="0"/>
        <v>104.4</v>
      </c>
      <c r="F15" s="2"/>
      <c r="G15" s="2"/>
      <c r="H15" s="15"/>
    </row>
    <row r="16" spans="2:14" x14ac:dyDescent="0.25">
      <c r="B16" s="2"/>
      <c r="C16" s="3">
        <v>113.1</v>
      </c>
      <c r="D16" s="3">
        <v>8.6</v>
      </c>
      <c r="E16" s="3">
        <f t="shared" si="0"/>
        <v>104.5</v>
      </c>
      <c r="F16" s="2"/>
      <c r="G16" s="2"/>
      <c r="H16" s="15"/>
    </row>
    <row r="17" spans="2:14" x14ac:dyDescent="0.25">
      <c r="B17" s="2">
        <v>0.7</v>
      </c>
      <c r="C17" s="3">
        <v>118.5</v>
      </c>
      <c r="D17" s="3">
        <v>8.6</v>
      </c>
      <c r="E17" s="3">
        <f t="shared" si="0"/>
        <v>109.9</v>
      </c>
      <c r="F17" s="2">
        <v>210</v>
      </c>
      <c r="G17" s="2">
        <f t="shared" ref="G17" si="4">AVERAGE(E17:E19)</f>
        <v>110</v>
      </c>
      <c r="H17" s="15">
        <f>(4*$L$14*J35*$L$6*$L$4*$L$7)/($L$9*$L$10*$L$8*$L$5)</f>
        <v>1.7162398176164334E+26</v>
      </c>
    </row>
    <row r="18" spans="2:14" x14ac:dyDescent="0.25">
      <c r="B18" s="2"/>
      <c r="C18" s="3">
        <v>118.4</v>
      </c>
      <c r="D18" s="3">
        <v>8.5</v>
      </c>
      <c r="E18" s="3">
        <f t="shared" si="0"/>
        <v>109.9</v>
      </c>
      <c r="F18" s="2"/>
      <c r="G18" s="2"/>
      <c r="H18" s="15"/>
    </row>
    <row r="19" spans="2:14" x14ac:dyDescent="0.25">
      <c r="B19" s="2"/>
      <c r="C19" s="3">
        <v>118.6</v>
      </c>
      <c r="D19" s="3">
        <v>8.4</v>
      </c>
      <c r="E19" s="3">
        <f t="shared" si="0"/>
        <v>110.19999999999999</v>
      </c>
      <c r="F19" s="2"/>
      <c r="G19" s="2"/>
      <c r="H19" s="15"/>
    </row>
    <row r="20" spans="2:14" x14ac:dyDescent="0.25">
      <c r="B20"/>
      <c r="C20"/>
      <c r="D20"/>
      <c r="E20"/>
      <c r="F20"/>
    </row>
    <row r="21" spans="2:14" x14ac:dyDescent="0.25">
      <c r="B21" s="5" t="s">
        <v>8</v>
      </c>
      <c r="C21" s="6"/>
      <c r="D21" s="6"/>
      <c r="E21" s="6"/>
      <c r="F21" s="6"/>
      <c r="G21" s="6"/>
      <c r="H21" s="6"/>
      <c r="I21" s="6"/>
      <c r="J21" s="6"/>
    </row>
    <row r="22" spans="2:14" x14ac:dyDescent="0.25">
      <c r="B22" s="3" t="s">
        <v>9</v>
      </c>
      <c r="C22" s="3" t="s">
        <v>3</v>
      </c>
      <c r="D22" s="3" t="s">
        <v>4</v>
      </c>
      <c r="E22" s="3" t="s">
        <v>5</v>
      </c>
      <c r="F22" s="3" t="s">
        <v>2</v>
      </c>
      <c r="G22" s="3" t="s">
        <v>29</v>
      </c>
      <c r="H22" s="3" t="s">
        <v>27</v>
      </c>
      <c r="I22" s="3" t="s">
        <v>28</v>
      </c>
      <c r="J22" s="12" t="s">
        <v>16</v>
      </c>
    </row>
    <row r="23" spans="2:14" x14ac:dyDescent="0.25">
      <c r="B23" s="2">
        <v>0.3</v>
      </c>
      <c r="C23" s="3">
        <v>11</v>
      </c>
      <c r="D23" s="3">
        <v>8.6</v>
      </c>
      <c r="E23" s="3">
        <f>C23-D23</f>
        <v>2.4000000000000004</v>
      </c>
      <c r="F23" s="2">
        <v>183</v>
      </c>
      <c r="G23" s="2">
        <f>AVERAGE(E23:E25)</f>
        <v>2.4000000000000004</v>
      </c>
      <c r="H23" s="2">
        <v>1623</v>
      </c>
      <c r="I23" s="2">
        <f>1.27*H23+97.143</f>
        <v>2158.3530000000001</v>
      </c>
      <c r="J23" s="19">
        <f>2929.4*EXP(0.0077*I23)</f>
        <v>48356718410.99192</v>
      </c>
    </row>
    <row r="24" spans="2:14" x14ac:dyDescent="0.25">
      <c r="B24" s="2"/>
      <c r="C24" s="3">
        <v>10.9</v>
      </c>
      <c r="D24" s="3">
        <v>8.5</v>
      </c>
      <c r="E24" s="3">
        <f t="shared" ref="E24:E25" si="5">C24-D24</f>
        <v>2.4000000000000004</v>
      </c>
      <c r="F24" s="2"/>
      <c r="G24" s="2"/>
      <c r="H24" s="2"/>
      <c r="I24" s="2"/>
      <c r="J24" s="19"/>
    </row>
    <row r="25" spans="2:14" x14ac:dyDescent="0.25">
      <c r="B25" s="2"/>
      <c r="C25" s="3">
        <v>10.8</v>
      </c>
      <c r="D25" s="3">
        <v>8.4</v>
      </c>
      <c r="E25" s="3">
        <f t="shared" si="5"/>
        <v>2.4000000000000004</v>
      </c>
      <c r="F25" s="2"/>
      <c r="G25" s="2"/>
      <c r="H25" s="2"/>
      <c r="I25" s="2"/>
      <c r="J25" s="19"/>
    </row>
    <row r="26" spans="2:14" x14ac:dyDescent="0.25">
      <c r="B26" s="16">
        <v>0.4</v>
      </c>
      <c r="C26" s="17" t="s">
        <v>30</v>
      </c>
      <c r="D26" s="17" t="s">
        <v>30</v>
      </c>
      <c r="E26" s="17" t="s">
        <v>30</v>
      </c>
      <c r="F26" s="16">
        <f>$F$23/$B$23*$B26</f>
        <v>244</v>
      </c>
      <c r="G26" s="18">
        <f>G8/$L$14</f>
        <v>2.6649350649350652</v>
      </c>
      <c r="H26" s="16">
        <f>$H$23/$B$23*$B26</f>
        <v>2164</v>
      </c>
      <c r="I26" s="16">
        <f t="shared" ref="I26" si="6">1.27*H26+97.143</f>
        <v>2845.4230000000002</v>
      </c>
      <c r="J26" s="20">
        <f t="shared" ref="J26" si="7">2929.4*EXP(0.0077*I26)</f>
        <v>9595448648662.873</v>
      </c>
    </row>
    <row r="27" spans="2:14" x14ac:dyDescent="0.25">
      <c r="B27" s="16"/>
      <c r="C27" s="17" t="s">
        <v>30</v>
      </c>
      <c r="D27" s="17" t="s">
        <v>30</v>
      </c>
      <c r="E27" s="17" t="s">
        <v>30</v>
      </c>
      <c r="F27" s="16"/>
      <c r="G27" s="18"/>
      <c r="H27" s="16"/>
      <c r="I27" s="16"/>
      <c r="J27" s="20"/>
      <c r="K27" s="4"/>
    </row>
    <row r="28" spans="2:14" x14ac:dyDescent="0.25">
      <c r="B28" s="16"/>
      <c r="C28" s="17" t="s">
        <v>30</v>
      </c>
      <c r="D28" s="17" t="s">
        <v>30</v>
      </c>
      <c r="E28" s="17" t="s">
        <v>30</v>
      </c>
      <c r="F28" s="16"/>
      <c r="G28" s="18"/>
      <c r="H28" s="16"/>
      <c r="I28" s="16"/>
      <c r="J28" s="20"/>
    </row>
    <row r="29" spans="2:14" x14ac:dyDescent="0.25">
      <c r="B29" s="16">
        <v>0.5</v>
      </c>
      <c r="C29" s="17" t="s">
        <v>30</v>
      </c>
      <c r="D29" s="17" t="s">
        <v>30</v>
      </c>
      <c r="E29" s="17" t="s">
        <v>30</v>
      </c>
      <c r="F29" s="16">
        <f t="shared" ref="F29:F37" si="8">$F$23/$B$23*$B29</f>
        <v>305</v>
      </c>
      <c r="G29" s="18">
        <f>G11/$L$14</f>
        <v>2.9610389610389616</v>
      </c>
      <c r="H29" s="16">
        <f t="shared" ref="H29:H37" si="9">$H$23/$B$23*$B29</f>
        <v>2705</v>
      </c>
      <c r="I29" s="16">
        <f t="shared" ref="I29" si="10">1.27*H29+97.143</f>
        <v>3532.4929999999999</v>
      </c>
      <c r="J29" s="20">
        <f t="shared" ref="J29" si="11">2929.4*EXP(0.0077*I29)</f>
        <v>1904029838968489</v>
      </c>
    </row>
    <row r="30" spans="2:14" x14ac:dyDescent="0.25">
      <c r="B30" s="16"/>
      <c r="C30" s="17" t="s">
        <v>30</v>
      </c>
      <c r="D30" s="17" t="s">
        <v>30</v>
      </c>
      <c r="E30" s="17" t="s">
        <v>30</v>
      </c>
      <c r="F30" s="16"/>
      <c r="G30" s="18"/>
      <c r="H30" s="16"/>
      <c r="I30" s="16"/>
      <c r="J30" s="20"/>
    </row>
    <row r="31" spans="2:14" x14ac:dyDescent="0.25">
      <c r="B31" s="16"/>
      <c r="C31" s="17" t="s">
        <v>30</v>
      </c>
      <c r="D31" s="17" t="s">
        <v>30</v>
      </c>
      <c r="E31" s="17" t="s">
        <v>30</v>
      </c>
      <c r="F31" s="16"/>
      <c r="G31" s="18"/>
      <c r="H31" s="16"/>
      <c r="I31" s="16"/>
      <c r="J31" s="20"/>
    </row>
    <row r="32" spans="2:14" x14ac:dyDescent="0.25">
      <c r="B32" s="16">
        <v>0.6</v>
      </c>
      <c r="C32" s="17" t="s">
        <v>30</v>
      </c>
      <c r="D32" s="17" t="s">
        <v>30</v>
      </c>
      <c r="E32" s="17" t="s">
        <v>30</v>
      </c>
      <c r="F32" s="16">
        <f t="shared" ref="F32:F37" si="12">$F$23/$B$23*$B32</f>
        <v>366</v>
      </c>
      <c r="G32" s="18">
        <f>G14/$L$14</f>
        <v>3.2571428571428576</v>
      </c>
      <c r="H32" s="16">
        <f t="shared" ref="H32:H37" si="13">$H$23/$B$23*$B32</f>
        <v>3246</v>
      </c>
      <c r="I32" s="16">
        <f t="shared" ref="I32" si="14">1.27*H32+97.143</f>
        <v>4219.5630000000001</v>
      </c>
      <c r="J32" s="20">
        <f t="shared" ref="J32" si="15">2929.4*EXP(0.0077*I32)</f>
        <v>3.7781762587907482E+17</v>
      </c>
      <c r="L32" s="2" t="s">
        <v>11</v>
      </c>
      <c r="M32" s="2"/>
      <c r="N32" s="2"/>
    </row>
    <row r="33" spans="2:14" x14ac:dyDescent="0.25">
      <c r="B33" s="16"/>
      <c r="C33" s="17" t="s">
        <v>30</v>
      </c>
      <c r="D33" s="17" t="s">
        <v>30</v>
      </c>
      <c r="E33" s="17" t="s">
        <v>30</v>
      </c>
      <c r="F33" s="16"/>
      <c r="G33" s="18"/>
      <c r="H33" s="16"/>
      <c r="I33" s="16"/>
      <c r="J33" s="20"/>
      <c r="L33" s="3" t="s">
        <v>12</v>
      </c>
      <c r="M33" s="3" t="s">
        <v>13</v>
      </c>
      <c r="N33" s="3" t="s">
        <v>14</v>
      </c>
    </row>
    <row r="34" spans="2:14" x14ac:dyDescent="0.25">
      <c r="B34" s="16"/>
      <c r="C34" s="17" t="s">
        <v>30</v>
      </c>
      <c r="D34" s="17" t="s">
        <v>30</v>
      </c>
      <c r="E34" s="17" t="s">
        <v>30</v>
      </c>
      <c r="F34" s="16"/>
      <c r="G34" s="18"/>
      <c r="H34" s="16"/>
      <c r="I34" s="16"/>
      <c r="J34" s="20"/>
      <c r="L34" s="3">
        <v>1320</v>
      </c>
      <c r="M34" s="3">
        <f>L34+273</f>
        <v>1593</v>
      </c>
      <c r="N34" s="8">
        <f>AVERAGE(M34:M38)</f>
        <v>1623</v>
      </c>
    </row>
    <row r="35" spans="2:14" x14ac:dyDescent="0.25">
      <c r="B35" s="16">
        <v>0.7</v>
      </c>
      <c r="C35" s="17" t="s">
        <v>30</v>
      </c>
      <c r="D35" s="17" t="s">
        <v>30</v>
      </c>
      <c r="E35" s="17" t="s">
        <v>30</v>
      </c>
      <c r="F35" s="16">
        <f t="shared" ref="F35:F37" si="16">$F$23/$B$23*$B35</f>
        <v>427</v>
      </c>
      <c r="G35" s="18">
        <f>G17/$L$14</f>
        <v>3.4285714285714293</v>
      </c>
      <c r="H35" s="16">
        <f t="shared" ref="H35:H37" si="17">$H$23/$B$23*$B35</f>
        <v>3786.9999999999995</v>
      </c>
      <c r="I35" s="16">
        <f t="shared" ref="I35" si="18">1.27*H35+97.143</f>
        <v>4906.6329999999998</v>
      </c>
      <c r="J35" s="20">
        <f t="shared" ref="J35" si="19">2929.4*EXP(0.0077*I35)</f>
        <v>7.4970546943861686E+19</v>
      </c>
      <c r="L35" s="3">
        <v>1380</v>
      </c>
      <c r="M35" s="3">
        <f t="shared" ref="M35:M38" si="20">L35+273</f>
        <v>1653</v>
      </c>
      <c r="N35" s="9"/>
    </row>
    <row r="36" spans="2:14" x14ac:dyDescent="0.25">
      <c r="B36" s="16"/>
      <c r="C36" s="17" t="s">
        <v>30</v>
      </c>
      <c r="D36" s="17" t="s">
        <v>30</v>
      </c>
      <c r="E36" s="17" t="s">
        <v>30</v>
      </c>
      <c r="F36" s="16"/>
      <c r="G36" s="18"/>
      <c r="H36" s="16"/>
      <c r="I36" s="16"/>
      <c r="J36" s="20"/>
      <c r="L36" s="3">
        <v>1350</v>
      </c>
      <c r="M36" s="3">
        <f t="shared" si="20"/>
        <v>1623</v>
      </c>
      <c r="N36" s="9"/>
    </row>
    <row r="37" spans="2:14" x14ac:dyDescent="0.25">
      <c r="B37" s="16"/>
      <c r="C37" s="17" t="s">
        <v>30</v>
      </c>
      <c r="D37" s="17" t="s">
        <v>30</v>
      </c>
      <c r="E37" s="17" t="s">
        <v>30</v>
      </c>
      <c r="F37" s="16"/>
      <c r="G37" s="18"/>
      <c r="H37" s="16"/>
      <c r="I37" s="16"/>
      <c r="J37" s="20"/>
      <c r="L37" s="3">
        <v>1360</v>
      </c>
      <c r="M37" s="3">
        <f t="shared" si="20"/>
        <v>1633</v>
      </c>
      <c r="N37" s="9"/>
    </row>
    <row r="38" spans="2:14" x14ac:dyDescent="0.25">
      <c r="L38" s="3">
        <v>1340</v>
      </c>
      <c r="M38" s="3">
        <f t="shared" si="20"/>
        <v>1613</v>
      </c>
      <c r="N38" s="10"/>
    </row>
    <row r="39" spans="2:14" x14ac:dyDescent="0.25">
      <c r="J39"/>
    </row>
    <row r="41" spans="2:14" x14ac:dyDescent="0.25">
      <c r="I41" s="3" t="s">
        <v>15</v>
      </c>
      <c r="J41" s="12" t="s">
        <v>16</v>
      </c>
    </row>
    <row r="42" spans="2:14" x14ac:dyDescent="0.25">
      <c r="I42" s="3">
        <v>1600</v>
      </c>
      <c r="J42" s="12">
        <f>5.5*POWER(10,8)</f>
        <v>550000000</v>
      </c>
    </row>
    <row r="43" spans="2:14" x14ac:dyDescent="0.25">
      <c r="I43" s="3">
        <v>1700</v>
      </c>
      <c r="J43" s="12">
        <f>1.3*POWER(10,9)</f>
        <v>1300000000</v>
      </c>
      <c r="M43" s="7">
        <v>800</v>
      </c>
      <c r="N43" s="3">
        <v>1100</v>
      </c>
    </row>
    <row r="44" spans="2:14" x14ac:dyDescent="0.25">
      <c r="I44" s="3">
        <v>1800</v>
      </c>
      <c r="J44" s="12">
        <f>3.5*POWER(10,9)</f>
        <v>3500000000</v>
      </c>
      <c r="M44" s="7">
        <v>1000</v>
      </c>
      <c r="N44" s="3">
        <v>1400</v>
      </c>
    </row>
    <row r="45" spans="2:14" x14ac:dyDescent="0.25">
      <c r="I45" s="3">
        <v>1900</v>
      </c>
      <c r="J45" s="12">
        <f>5.6*POWER(10,9)</f>
        <v>5600000000</v>
      </c>
      <c r="M45" s="7">
        <v>1200</v>
      </c>
      <c r="N45" s="3">
        <v>1600</v>
      </c>
    </row>
    <row r="46" spans="2:14" x14ac:dyDescent="0.25">
      <c r="I46" s="3">
        <v>2000</v>
      </c>
      <c r="J46" s="12">
        <f>2*POWER(10,10)</f>
        <v>20000000000</v>
      </c>
      <c r="M46" s="7">
        <v>1400</v>
      </c>
      <c r="N46" s="3">
        <v>1900</v>
      </c>
    </row>
    <row r="47" spans="2:14" x14ac:dyDescent="0.25">
      <c r="I47" s="3">
        <v>2100</v>
      </c>
      <c r="J47" s="12">
        <f>4*POWER(10,10)</f>
        <v>40000000000</v>
      </c>
      <c r="M47" s="7">
        <v>1600</v>
      </c>
      <c r="N47" s="3">
        <v>2100</v>
      </c>
    </row>
    <row r="48" spans="2:14" x14ac:dyDescent="0.25">
      <c r="I48" s="3">
        <v>2200</v>
      </c>
      <c r="J48" s="12">
        <f>4.9*POWER(10,10)</f>
        <v>49000000000</v>
      </c>
      <c r="M48" s="7">
        <v>1800</v>
      </c>
      <c r="N48" s="3">
        <v>2400</v>
      </c>
    </row>
    <row r="49" spans="9:15" x14ac:dyDescent="0.25">
      <c r="I49" s="3">
        <v>2300</v>
      </c>
      <c r="J49" s="12">
        <f>1.6*POWER(10,11)</f>
        <v>160000000000</v>
      </c>
    </row>
    <row r="50" spans="9:15" x14ac:dyDescent="0.25">
      <c r="I50" s="3">
        <v>2400</v>
      </c>
      <c r="J50" s="12">
        <f>2.5*POWER(10,11)</f>
        <v>250000000000</v>
      </c>
    </row>
    <row r="52" spans="9:15" x14ac:dyDescent="0.25">
      <c r="J52"/>
      <c r="L52" s="1"/>
      <c r="M52" s="1"/>
      <c r="N52"/>
      <c r="O52"/>
    </row>
  </sheetData>
  <sheetProtection algorithmName="SHA-512" hashValue="V/nWE97mMrZkox2KsAme/ZQE+YZAlsQeHB0azXbOwPqMCN2qT1rxEUx+GliGzoC1F6PgGC1572LOad/M2kaW3Q==" saltValue="8mRaYC/q6/1YJ5EmJHZRFA==" spinCount="100000" sheet="1" objects="1" scenarios="1" selectLockedCells="1" selectUnlockedCells="1"/>
  <mergeCells count="55">
    <mergeCell ref="I32:I34"/>
    <mergeCell ref="H35:H37"/>
    <mergeCell ref="I35:I37"/>
    <mergeCell ref="B21:J21"/>
    <mergeCell ref="J23:J25"/>
    <mergeCell ref="J26:J28"/>
    <mergeCell ref="J29:J31"/>
    <mergeCell ref="J32:J34"/>
    <mergeCell ref="J35:J37"/>
    <mergeCell ref="G29:G31"/>
    <mergeCell ref="G32:G34"/>
    <mergeCell ref="G35:G37"/>
    <mergeCell ref="H23:H25"/>
    <mergeCell ref="I23:I25"/>
    <mergeCell ref="H26:H28"/>
    <mergeCell ref="I26:I28"/>
    <mergeCell ref="H29:H31"/>
    <mergeCell ref="I29:I31"/>
    <mergeCell ref="H32:H34"/>
    <mergeCell ref="B29:B31"/>
    <mergeCell ref="B32:B34"/>
    <mergeCell ref="B35:B37"/>
    <mergeCell ref="F26:F28"/>
    <mergeCell ref="F29:F31"/>
    <mergeCell ref="F32:F34"/>
    <mergeCell ref="F35:F37"/>
    <mergeCell ref="H14:H16"/>
    <mergeCell ref="H17:H19"/>
    <mergeCell ref="B2:H2"/>
    <mergeCell ref="B3:H3"/>
    <mergeCell ref="G23:G25"/>
    <mergeCell ref="F23:F25"/>
    <mergeCell ref="B23:B25"/>
    <mergeCell ref="N34:N38"/>
    <mergeCell ref="L32:N32"/>
    <mergeCell ref="B26:B28"/>
    <mergeCell ref="G26:G28"/>
    <mergeCell ref="H8:H10"/>
    <mergeCell ref="H11:H13"/>
    <mergeCell ref="H5:H7"/>
    <mergeCell ref="F17:F19"/>
    <mergeCell ref="G5:G7"/>
    <mergeCell ref="G8:G10"/>
    <mergeCell ref="G11:G13"/>
    <mergeCell ref="G14:G16"/>
    <mergeCell ref="G17:G19"/>
    <mergeCell ref="B5:B7"/>
    <mergeCell ref="B8:B10"/>
    <mergeCell ref="B11:B13"/>
    <mergeCell ref="B14:B16"/>
    <mergeCell ref="B17:B19"/>
    <mergeCell ref="F5:F7"/>
    <mergeCell ref="F8:F10"/>
    <mergeCell ref="F11:F13"/>
    <mergeCell ref="F14:F1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2013-12-08T13:28:30Z</dcterms:modified>
</cp:coreProperties>
</file>