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haukolaussen/Downloads/"/>
    </mc:Choice>
  </mc:AlternateContent>
  <xr:revisionPtr revIDLastSave="0" documentId="8_{A661EA6A-21DF-2A4E-99DD-9FA41E8C9A6E}" xr6:coauthVersionLast="47" xr6:coauthVersionMax="47" xr10:uidLastSave="{00000000-0000-0000-0000-000000000000}"/>
  <bookViews>
    <workbookView xWindow="0" yWindow="760" windowWidth="30240" windowHeight="17040" tabRatio="707" xr2:uid="{00000000-000D-0000-FFFF-FFFF00000000}"/>
  </bookViews>
  <sheets>
    <sheet name="Utsendte tilbud" sheetId="17" r:id="rId1"/>
    <sheet name="Serviceavtaler" sheetId="34" r:id="rId2"/>
    <sheet name="Prosjektplan" sheetId="15" r:id="rId3"/>
    <sheet name="Folie-skruer" sheetId="20" r:id="rId4"/>
    <sheet name="Akkord 2025" sheetId="32" r:id="rId5"/>
    <sheet name="Akkord 2024" sheetId="26" r:id="rId6"/>
    <sheet name="Akkord 2023" sheetId="25" r:id="rId7"/>
    <sheet name="Prosjektliste_Prodplan" sheetId="7" r:id="rId8"/>
    <sheet name="Mont- Bemanning" sheetId="12" r:id="rId9"/>
    <sheet name="Forespørsler" sheetId="16" r:id="rId10"/>
  </sheets>
  <definedNames>
    <definedName name="_xlnm._FilterDatabase" localSheetId="9" hidden="1">Forespørsler!$A$3:$K$4</definedName>
    <definedName name="_xlnm._FilterDatabase" localSheetId="7" hidden="1">Prosjektliste_Prodplan!$A$8:$BV$42</definedName>
    <definedName name="_xlnm._FilterDatabase" localSheetId="2" hidden="1">Prosjektplan!$A$7:$AD$98</definedName>
    <definedName name="_xlnm._FilterDatabase" localSheetId="0" hidden="1">'Utsendte tilbud'!$A$8:$AA$462</definedName>
    <definedName name="_xlnm.Print_Area" localSheetId="7">Prosjektliste_Prodplan!$C$1:$M$42</definedName>
    <definedName name="_xlnm.Print_Area" localSheetId="2">Prosjektplan!$B$1:$AB$98</definedName>
    <definedName name="Z_4242D610_D025_4AD6_876C_CA1124765733_.wvu.FilterData" localSheetId="7" hidden="1">Prosjektliste_Prodplan!$C$8:$BV$42</definedName>
    <definedName name="Z_4242D610_D025_4AD6_876C_CA1124765733_.wvu.FilterData" localSheetId="2" hidden="1">Prosjektplan!$B$7:$AB$98</definedName>
    <definedName name="Z_4242D610_D025_4AD6_876C_CA1124765733_.wvu.PrintArea" localSheetId="7" hidden="1">Prosjektliste_Prodplan!$C$1:$M$42</definedName>
    <definedName name="Z_4242D610_D025_4AD6_876C_CA1124765733_.wvu.PrintArea" localSheetId="2" hidden="1">Prosjektplan!$B$1:$AB$98</definedName>
    <definedName name="Z_4242D610_D025_4AD6_876C_CA1124765733_.wvu.Rows" localSheetId="8" hidden="1">'Mont- Bemanning'!#REF!</definedName>
    <definedName name="Z_4242D610_D025_4AD6_876C_CA1124765733_.wvu.Rows" localSheetId="7" hidden="1">Prosjektliste_Prodplan!$5:$5</definedName>
    <definedName name="Z_4242D610_D025_4AD6_876C_CA1124765733_.wvu.Rows" localSheetId="2" hidden="1">Prosjektplan!#REF!</definedName>
    <definedName name="Z_60D44209_592E_40F6_9D02_2E4EB6299CCB_.wvu.FilterData" localSheetId="7" hidden="1">Prosjektliste_Prodplan!$C$8:$BV$42</definedName>
    <definedName name="Z_60D44209_592E_40F6_9D02_2E4EB6299CCB_.wvu.FilterData" localSheetId="2" hidden="1">Prosjektplan!$B$7:$AB$98</definedName>
    <definedName name="Z_60D44209_592E_40F6_9D02_2E4EB6299CCB_.wvu.PrintArea" localSheetId="7" hidden="1">Prosjektliste_Prodplan!$C$1:$M$42</definedName>
    <definedName name="Z_60D44209_592E_40F6_9D02_2E4EB6299CCB_.wvu.PrintArea" localSheetId="2" hidden="1">Prosjektplan!$B$1:$AB$98</definedName>
    <definedName name="Z_60D44209_592E_40F6_9D02_2E4EB6299CCB_.wvu.Rows" localSheetId="8" hidden="1">'Mont- Bemanning'!#REF!</definedName>
    <definedName name="Z_60D44209_592E_40F6_9D02_2E4EB6299CCB_.wvu.Rows" localSheetId="7" hidden="1">Prosjektliste_Prodplan!$5:$5</definedName>
    <definedName name="Z_60D44209_592E_40F6_9D02_2E4EB6299CCB_.wvu.Rows" localSheetId="2" hidden="1">Prosjektplan!#REF!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12" i="17" l="1"/>
  <c r="T412" i="17"/>
  <c r="S413" i="17"/>
  <c r="T413" i="17"/>
  <c r="S414" i="17"/>
  <c r="T414" i="17"/>
  <c r="H395" i="17"/>
  <c r="T395" i="17"/>
  <c r="S395" i="17"/>
  <c r="H322" i="17" l="1"/>
  <c r="T322" i="17"/>
  <c r="S322" i="17"/>
  <c r="T369" i="17"/>
  <c r="S369" i="17"/>
  <c r="H418" i="17"/>
  <c r="H417" i="17"/>
  <c r="S416" i="17" l="1"/>
  <c r="T416" i="17"/>
  <c r="S417" i="17"/>
  <c r="T417" i="17"/>
  <c r="S418" i="17"/>
  <c r="T418" i="17"/>
  <c r="S400" i="17"/>
  <c r="T400" i="17"/>
  <c r="T415" i="17"/>
  <c r="S415" i="17"/>
  <c r="H415" i="17"/>
  <c r="U412" i="17"/>
  <c r="U415" i="17"/>
  <c r="U416" i="17"/>
  <c r="U417" i="17"/>
  <c r="U418" i="17"/>
  <c r="U400" i="17"/>
  <c r="U419" i="17"/>
  <c r="U395" i="17"/>
  <c r="U445" i="17"/>
  <c r="U446" i="17"/>
  <c r="U447" i="17"/>
  <c r="U448" i="17"/>
  <c r="U449" i="17"/>
  <c r="U450" i="17"/>
  <c r="U451" i="17"/>
  <c r="T411" i="17"/>
  <c r="S411" i="17"/>
  <c r="T407" i="17"/>
  <c r="S407" i="17"/>
  <c r="T410" i="17"/>
  <c r="S410" i="17"/>
  <c r="H298" i="17"/>
  <c r="S409" i="17"/>
  <c r="T409" i="17"/>
  <c r="S408" i="17"/>
  <c r="T408" i="17"/>
  <c r="S405" i="17"/>
  <c r="T405" i="17"/>
  <c r="U405" i="17"/>
  <c r="U408" i="17"/>
  <c r="U409" i="17"/>
  <c r="U436" i="17"/>
  <c r="U407" i="17"/>
  <c r="U411" i="17"/>
  <c r="U444" i="17"/>
  <c r="U414" i="17"/>
  <c r="U413" i="17"/>
  <c r="U452" i="17"/>
  <c r="U453" i="17"/>
  <c r="U454" i="17"/>
  <c r="T382" i="17"/>
  <c r="T383" i="17"/>
  <c r="T406" i="17"/>
  <c r="S404" i="17"/>
  <c r="T404" i="17"/>
  <c r="S403" i="17"/>
  <c r="T403" i="17"/>
  <c r="S402" i="17"/>
  <c r="T402" i="17"/>
  <c r="S401" i="17"/>
  <c r="T401" i="17"/>
  <c r="U401" i="17"/>
  <c r="U402" i="17"/>
  <c r="U403" i="17"/>
  <c r="U404" i="17"/>
  <c r="U406" i="17"/>
  <c r="U410" i="17"/>
  <c r="S398" i="17"/>
  <c r="T398" i="17"/>
  <c r="S397" i="17"/>
  <c r="T397" i="17"/>
  <c r="S396" i="17"/>
  <c r="T396" i="17"/>
  <c r="S394" i="17"/>
  <c r="T394" i="17"/>
  <c r="S392" i="17"/>
  <c r="T392" i="17"/>
  <c r="T441" i="17"/>
  <c r="T163" i="17"/>
  <c r="T442" i="17"/>
  <c r="T437" i="17"/>
  <c r="T443" i="17"/>
  <c r="T384" i="17"/>
  <c r="T385" i="17"/>
  <c r="T386" i="17"/>
  <c r="T387" i="17"/>
  <c r="T388" i="17"/>
  <c r="T389" i="17"/>
  <c r="T390" i="17"/>
  <c r="T391" i="17"/>
  <c r="S442" i="17"/>
  <c r="S437" i="17"/>
  <c r="S443" i="17"/>
  <c r="S384" i="17"/>
  <c r="S385" i="17"/>
  <c r="S386" i="17"/>
  <c r="S387" i="17"/>
  <c r="S388" i="17"/>
  <c r="S389" i="17"/>
  <c r="S390" i="17"/>
  <c r="S391" i="17"/>
  <c r="S382" i="17"/>
  <c r="S383" i="17"/>
  <c r="S421" i="17"/>
  <c r="S425" i="17"/>
  <c r="S426" i="17"/>
  <c r="S428" i="17"/>
  <c r="S427" i="17"/>
  <c r="S424" i="17"/>
  <c r="S423" i="17"/>
  <c r="S420" i="17"/>
  <c r="S422" i="17"/>
  <c r="S429" i="17"/>
  <c r="S431" i="17"/>
  <c r="S430" i="17"/>
  <c r="S432" i="17"/>
  <c r="S433" i="17"/>
  <c r="S434" i="17"/>
  <c r="S435" i="17"/>
  <c r="S438" i="17"/>
  <c r="S439" i="17"/>
  <c r="S440" i="17"/>
  <c r="S441" i="17"/>
  <c r="S163" i="17"/>
  <c r="T440" i="17"/>
  <c r="T439" i="17"/>
  <c r="T421" i="17"/>
  <c r="T425" i="17"/>
  <c r="T426" i="17"/>
  <c r="T428" i="17"/>
  <c r="T427" i="17"/>
  <c r="T424" i="17"/>
  <c r="T423" i="17"/>
  <c r="T420" i="17"/>
  <c r="T422" i="17"/>
  <c r="T429" i="17"/>
  <c r="T431" i="17"/>
  <c r="T430" i="17"/>
  <c r="T432" i="17"/>
  <c r="T433" i="17"/>
  <c r="T434" i="17"/>
  <c r="T435" i="17"/>
  <c r="T438" i="17"/>
  <c r="S399" i="17"/>
  <c r="T399" i="17"/>
  <c r="H399" i="17"/>
  <c r="T381" i="17"/>
  <c r="S381" i="17"/>
  <c r="S380" i="17" l="1"/>
  <c r="T380" i="17"/>
  <c r="H380" i="17"/>
  <c r="H381" i="17" l="1"/>
  <c r="U265" i="32" l="1"/>
  <c r="S379" i="17"/>
  <c r="T379" i="17"/>
  <c r="H379" i="17"/>
  <c r="U420" i="17" l="1"/>
  <c r="U378" i="17"/>
  <c r="U379" i="17"/>
  <c r="U380" i="17"/>
  <c r="U381" i="17"/>
  <c r="U382" i="17"/>
  <c r="U383" i="17"/>
  <c r="U430" i="17"/>
  <c r="U432" i="17"/>
  <c r="U433" i="17"/>
  <c r="U434" i="17"/>
  <c r="U435" i="17"/>
  <c r="U438" i="17"/>
  <c r="U399" i="17"/>
  <c r="U439" i="17"/>
  <c r="U440" i="17"/>
  <c r="U441" i="17"/>
  <c r="U163" i="17"/>
  <c r="U442" i="17"/>
  <c r="U437" i="17"/>
  <c r="U443" i="17"/>
  <c r="U384" i="17"/>
  <c r="U385" i="17"/>
  <c r="U386" i="17"/>
  <c r="U387" i="17"/>
  <c r="U388" i="17"/>
  <c r="U389" i="17"/>
  <c r="U390" i="17"/>
  <c r="U391" i="17"/>
  <c r="U392" i="17"/>
  <c r="U394" i="17"/>
  <c r="U396" i="17"/>
  <c r="U397" i="17"/>
  <c r="U398" i="17"/>
  <c r="S378" i="17"/>
  <c r="T378" i="17"/>
  <c r="H378" i="17"/>
  <c r="U4" i="17" l="1"/>
  <c r="AH6" i="17"/>
  <c r="AI5" i="17"/>
  <c r="AH5" i="17"/>
  <c r="AI4" i="17"/>
  <c r="AH4" i="17"/>
  <c r="AI3" i="17"/>
  <c r="AH3" i="17"/>
  <c r="Z422" i="17"/>
  <c r="Z429" i="17"/>
  <c r="Q6" i="17"/>
  <c r="Q3" i="17"/>
  <c r="U3" i="17"/>
  <c r="S376" i="17"/>
  <c r="T376" i="17"/>
  <c r="H376" i="17"/>
  <c r="S377" i="17"/>
  <c r="T377" i="17"/>
  <c r="H377" i="17"/>
  <c r="Q258" i="17"/>
  <c r="Q216" i="17"/>
  <c r="S216" i="17" s="1"/>
  <c r="S9" i="17"/>
  <c r="T9" i="17"/>
  <c r="U9" i="17"/>
  <c r="Y9" i="17"/>
  <c r="Z9" i="17"/>
  <c r="AA9" i="17"/>
  <c r="K13" i="17"/>
  <c r="S13" i="17"/>
  <c r="T13" i="17"/>
  <c r="U13" i="17"/>
  <c r="Y13" i="17"/>
  <c r="Z13" i="17"/>
  <c r="AA13" i="17"/>
  <c r="H113" i="17"/>
  <c r="S113" i="17"/>
  <c r="T113" i="17"/>
  <c r="U113" i="17"/>
  <c r="Y113" i="17"/>
  <c r="Z113" i="17"/>
  <c r="AA113" i="17"/>
  <c r="M19" i="17"/>
  <c r="K19" i="17" s="1"/>
  <c r="N19" i="17"/>
  <c r="S19" i="17"/>
  <c r="T19" i="17"/>
  <c r="U19" i="17"/>
  <c r="Y19" i="17"/>
  <c r="Z19" i="17"/>
  <c r="AA19" i="17"/>
  <c r="S29" i="17"/>
  <c r="T29" i="17"/>
  <c r="U29" i="17"/>
  <c r="Y29" i="17"/>
  <c r="Z29" i="17"/>
  <c r="AA29" i="17"/>
  <c r="K14" i="17"/>
  <c r="S14" i="17"/>
  <c r="T14" i="17"/>
  <c r="U14" i="17"/>
  <c r="Y14" i="17"/>
  <c r="Z14" i="17"/>
  <c r="AA14" i="17"/>
  <c r="H170" i="17"/>
  <c r="S170" i="17"/>
  <c r="T170" i="17"/>
  <c r="U170" i="17"/>
  <c r="Y170" i="17"/>
  <c r="Z170" i="17"/>
  <c r="AA170" i="17"/>
  <c r="K16" i="17"/>
  <c r="Q16" i="17"/>
  <c r="S16" i="17" s="1"/>
  <c r="U16" i="17"/>
  <c r="Y16" i="17"/>
  <c r="Z16" i="17"/>
  <c r="AA16" i="17"/>
  <c r="K17" i="17"/>
  <c r="S17" i="17"/>
  <c r="T17" i="17"/>
  <c r="U17" i="17"/>
  <c r="Y17" i="17"/>
  <c r="Z17" i="17"/>
  <c r="AA17" i="17"/>
  <c r="S32" i="17"/>
  <c r="T32" i="17"/>
  <c r="U32" i="17"/>
  <c r="Y32" i="17"/>
  <c r="Z32" i="17"/>
  <c r="AA32" i="17"/>
  <c r="K34" i="17"/>
  <c r="M34" i="17"/>
  <c r="N34" i="17"/>
  <c r="S34" i="17"/>
  <c r="T34" i="17"/>
  <c r="U34" i="17"/>
  <c r="Y34" i="17"/>
  <c r="Z34" i="17"/>
  <c r="AA34" i="17"/>
  <c r="S20" i="17"/>
  <c r="T20" i="17"/>
  <c r="U20" i="17"/>
  <c r="Y20" i="17"/>
  <c r="Z20" i="17"/>
  <c r="AA20" i="17"/>
  <c r="H36" i="17"/>
  <c r="S36" i="17"/>
  <c r="T36" i="17"/>
  <c r="U36" i="17"/>
  <c r="Y36" i="17"/>
  <c r="Z36" i="17"/>
  <c r="AA36" i="17"/>
  <c r="S21" i="17"/>
  <c r="T21" i="17"/>
  <c r="U21" i="17"/>
  <c r="Y21" i="17"/>
  <c r="Z21" i="17"/>
  <c r="AA21" i="17"/>
  <c r="M25" i="17"/>
  <c r="K25" i="17" s="1"/>
  <c r="N25" i="17"/>
  <c r="S25" i="17"/>
  <c r="T25" i="17"/>
  <c r="U25" i="17"/>
  <c r="Y25" i="17"/>
  <c r="Z25" i="17"/>
  <c r="AA25" i="17"/>
  <c r="G23" i="17"/>
  <c r="T23" i="17" s="1"/>
  <c r="K23" i="17"/>
  <c r="S23" i="17"/>
  <c r="U23" i="17"/>
  <c r="Y23" i="17"/>
  <c r="Z23" i="17"/>
  <c r="AA23" i="17"/>
  <c r="S26" i="17"/>
  <c r="T26" i="17"/>
  <c r="U26" i="17"/>
  <c r="Y26" i="17"/>
  <c r="Z26" i="17"/>
  <c r="AA26" i="17"/>
  <c r="S61" i="17"/>
  <c r="T61" i="17"/>
  <c r="U61" i="17"/>
  <c r="Y61" i="17"/>
  <c r="Z61" i="17"/>
  <c r="AA61" i="17"/>
  <c r="S43" i="17"/>
  <c r="T43" i="17"/>
  <c r="U43" i="17"/>
  <c r="Y43" i="17"/>
  <c r="Z43" i="17"/>
  <c r="AA43" i="17"/>
  <c r="S28" i="17"/>
  <c r="T28" i="17"/>
  <c r="U28" i="17"/>
  <c r="Y28" i="17"/>
  <c r="Z28" i="17"/>
  <c r="AA28" i="17"/>
  <c r="G44" i="17"/>
  <c r="T44" i="17" s="1"/>
  <c r="S44" i="17"/>
  <c r="U44" i="17"/>
  <c r="Y44" i="17"/>
  <c r="Z44" i="17"/>
  <c r="AA44" i="17"/>
  <c r="S31" i="17"/>
  <c r="T31" i="17"/>
  <c r="U31" i="17"/>
  <c r="Y31" i="17"/>
  <c r="Z31" i="17"/>
  <c r="AA31" i="17"/>
  <c r="H53" i="17"/>
  <c r="S53" i="17"/>
  <c r="T53" i="17"/>
  <c r="U53" i="17"/>
  <c r="Y53" i="17"/>
  <c r="Z53" i="17"/>
  <c r="AA53" i="17"/>
  <c r="S33" i="17"/>
  <c r="T33" i="17"/>
  <c r="U33" i="17"/>
  <c r="Y33" i="17"/>
  <c r="Z33" i="17"/>
  <c r="AA33" i="17"/>
  <c r="S59" i="17"/>
  <c r="T59" i="17"/>
  <c r="U59" i="17"/>
  <c r="Y59" i="17"/>
  <c r="Z59" i="17"/>
  <c r="AA59" i="17"/>
  <c r="H80" i="17"/>
  <c r="S80" i="17"/>
  <c r="T80" i="17"/>
  <c r="U80" i="17"/>
  <c r="Y80" i="17"/>
  <c r="Z80" i="17"/>
  <c r="AA80" i="17"/>
  <c r="S35" i="17"/>
  <c r="T35" i="17"/>
  <c r="U35" i="17"/>
  <c r="Y35" i="17"/>
  <c r="Z35" i="17"/>
  <c r="AA35" i="17"/>
  <c r="K15" i="17"/>
  <c r="S15" i="17"/>
  <c r="T15" i="17"/>
  <c r="U15" i="17"/>
  <c r="Y15" i="17"/>
  <c r="Z15" i="17"/>
  <c r="AA15" i="17"/>
  <c r="S65" i="17"/>
  <c r="T65" i="17"/>
  <c r="U65" i="17"/>
  <c r="Y65" i="17"/>
  <c r="Z65" i="17"/>
  <c r="AA65" i="17"/>
  <c r="S88" i="17"/>
  <c r="T88" i="17"/>
  <c r="U88" i="17"/>
  <c r="Y88" i="17"/>
  <c r="Z88" i="17"/>
  <c r="AA88" i="17"/>
  <c r="S38" i="17"/>
  <c r="T38" i="17"/>
  <c r="U38" i="17"/>
  <c r="Y38" i="17"/>
  <c r="Z38" i="17"/>
  <c r="AA38" i="17"/>
  <c r="S51" i="17"/>
  <c r="T51" i="17"/>
  <c r="U51" i="17"/>
  <c r="Y51" i="17"/>
  <c r="Z51" i="17"/>
  <c r="AA51" i="17"/>
  <c r="S42" i="17"/>
  <c r="T42" i="17"/>
  <c r="U42" i="17"/>
  <c r="Y42" i="17"/>
  <c r="Z42" i="17"/>
  <c r="AA42" i="17"/>
  <c r="S73" i="17"/>
  <c r="T73" i="17"/>
  <c r="U73" i="17"/>
  <c r="Y73" i="17"/>
  <c r="Z73" i="17"/>
  <c r="AA73" i="17"/>
  <c r="S74" i="17"/>
  <c r="T74" i="17"/>
  <c r="U74" i="17"/>
  <c r="Y74" i="17"/>
  <c r="Z74" i="17"/>
  <c r="AA74" i="17"/>
  <c r="S45" i="17"/>
  <c r="T45" i="17"/>
  <c r="U45" i="17"/>
  <c r="Y45" i="17"/>
  <c r="Z45" i="17"/>
  <c r="AA45" i="17"/>
  <c r="S62" i="17"/>
  <c r="T62" i="17"/>
  <c r="U62" i="17"/>
  <c r="Y62" i="17"/>
  <c r="Z62" i="17"/>
  <c r="AA62" i="17"/>
  <c r="S47" i="17"/>
  <c r="T47" i="17"/>
  <c r="U47" i="17"/>
  <c r="Y47" i="17"/>
  <c r="Z47" i="17"/>
  <c r="AA47" i="17"/>
  <c r="S27" i="17"/>
  <c r="T27" i="17"/>
  <c r="U27" i="17"/>
  <c r="Y27" i="17"/>
  <c r="Z27" i="17"/>
  <c r="AA27" i="17"/>
  <c r="S37" i="17"/>
  <c r="T37" i="17"/>
  <c r="U37" i="17"/>
  <c r="Y37" i="17"/>
  <c r="Z37" i="17"/>
  <c r="AA37" i="17"/>
  <c r="S40" i="17"/>
  <c r="T40" i="17"/>
  <c r="U40" i="17"/>
  <c r="Y40" i="17"/>
  <c r="Z40" i="17"/>
  <c r="AA40" i="17"/>
  <c r="H142" i="17"/>
  <c r="S142" i="17"/>
  <c r="T142" i="17"/>
  <c r="U142" i="17"/>
  <c r="Y142" i="17"/>
  <c r="Z142" i="17"/>
  <c r="AA142" i="17"/>
  <c r="S49" i="17"/>
  <c r="T49" i="17"/>
  <c r="U49" i="17"/>
  <c r="Y49" i="17"/>
  <c r="Z49" i="17"/>
  <c r="AA49" i="17"/>
  <c r="S75" i="17"/>
  <c r="T75" i="17"/>
  <c r="U75" i="17"/>
  <c r="Y75" i="17"/>
  <c r="Z75" i="17"/>
  <c r="AA75" i="17"/>
  <c r="H120" i="17"/>
  <c r="S120" i="17"/>
  <c r="T120" i="17"/>
  <c r="U120" i="17"/>
  <c r="Y120" i="17"/>
  <c r="Z120" i="17"/>
  <c r="AA120" i="17"/>
  <c r="K48" i="17"/>
  <c r="M48" i="17"/>
  <c r="N48" i="17"/>
  <c r="S48" i="17"/>
  <c r="T48" i="17"/>
  <c r="U48" i="17"/>
  <c r="Y48" i="17"/>
  <c r="Z48" i="17"/>
  <c r="AA48" i="17"/>
  <c r="S54" i="17"/>
  <c r="T54" i="17"/>
  <c r="U54" i="17"/>
  <c r="Y54" i="17"/>
  <c r="Z54" i="17"/>
  <c r="AA54" i="17"/>
  <c r="S55" i="17"/>
  <c r="T55" i="17"/>
  <c r="U55" i="17"/>
  <c r="Y55" i="17"/>
  <c r="Z55" i="17"/>
  <c r="AA55" i="17"/>
  <c r="S58" i="17"/>
  <c r="T58" i="17"/>
  <c r="U58" i="17"/>
  <c r="Y58" i="17"/>
  <c r="Z58" i="17"/>
  <c r="AA58" i="17"/>
  <c r="S18" i="17"/>
  <c r="T18" i="17"/>
  <c r="U18" i="17"/>
  <c r="Y18" i="17"/>
  <c r="Z18" i="17"/>
  <c r="AA18" i="17"/>
  <c r="H81" i="17"/>
  <c r="S81" i="17"/>
  <c r="T81" i="17"/>
  <c r="U81" i="17"/>
  <c r="Y81" i="17"/>
  <c r="Z81" i="17"/>
  <c r="AA81" i="17"/>
  <c r="S82" i="17"/>
  <c r="T82" i="17"/>
  <c r="U82" i="17"/>
  <c r="Y82" i="17"/>
  <c r="Z82" i="17"/>
  <c r="AA82" i="17"/>
  <c r="S60" i="17"/>
  <c r="T60" i="17"/>
  <c r="U60" i="17"/>
  <c r="Y60" i="17"/>
  <c r="Z60" i="17"/>
  <c r="AA60" i="17"/>
  <c r="K12" i="17"/>
  <c r="S12" i="17"/>
  <c r="T12" i="17"/>
  <c r="U12" i="17"/>
  <c r="Y12" i="17"/>
  <c r="Z12" i="17"/>
  <c r="AA12" i="17"/>
  <c r="S63" i="17"/>
  <c r="T63" i="17"/>
  <c r="U63" i="17"/>
  <c r="Y63" i="17"/>
  <c r="Z63" i="17"/>
  <c r="AA63" i="17"/>
  <c r="S83" i="17"/>
  <c r="T83" i="17"/>
  <c r="U83" i="17"/>
  <c r="Y83" i="17"/>
  <c r="Z83" i="17"/>
  <c r="AA83" i="17"/>
  <c r="S66" i="17"/>
  <c r="T66" i="17"/>
  <c r="U66" i="17"/>
  <c r="Y66" i="17"/>
  <c r="Z66" i="17"/>
  <c r="AA66" i="17"/>
  <c r="S67" i="17"/>
  <c r="T67" i="17"/>
  <c r="U67" i="17"/>
  <c r="Y67" i="17"/>
  <c r="Z67" i="17"/>
  <c r="AA67" i="17"/>
  <c r="S68" i="17"/>
  <c r="T68" i="17"/>
  <c r="U68" i="17"/>
  <c r="Y68" i="17"/>
  <c r="Z68" i="17"/>
  <c r="AA68" i="17"/>
  <c r="S70" i="17"/>
  <c r="T70" i="17"/>
  <c r="U70" i="17"/>
  <c r="Y70" i="17"/>
  <c r="Z70" i="17"/>
  <c r="AA70" i="17"/>
  <c r="S89" i="17"/>
  <c r="T89" i="17"/>
  <c r="U89" i="17"/>
  <c r="Y89" i="17"/>
  <c r="Z89" i="17"/>
  <c r="AA89" i="17"/>
  <c r="S71" i="17"/>
  <c r="T71" i="17"/>
  <c r="U71" i="17"/>
  <c r="Y71" i="17"/>
  <c r="Z71" i="17"/>
  <c r="AA71" i="17"/>
  <c r="S72" i="17"/>
  <c r="T72" i="17"/>
  <c r="U72" i="17"/>
  <c r="Y72" i="17"/>
  <c r="Z72" i="17"/>
  <c r="AA72" i="17"/>
  <c r="S84" i="17"/>
  <c r="T84" i="17"/>
  <c r="U84" i="17"/>
  <c r="Y84" i="17"/>
  <c r="Z84" i="17"/>
  <c r="AA84" i="17"/>
  <c r="S87" i="17"/>
  <c r="T87" i="17"/>
  <c r="U87" i="17"/>
  <c r="Y87" i="17"/>
  <c r="Z87" i="17"/>
  <c r="AA87" i="17"/>
  <c r="S90" i="17"/>
  <c r="T90" i="17"/>
  <c r="U90" i="17"/>
  <c r="Y90" i="17"/>
  <c r="Z90" i="17"/>
  <c r="AA90" i="17"/>
  <c r="S76" i="17"/>
  <c r="T76" i="17"/>
  <c r="U76" i="17"/>
  <c r="Y76" i="17"/>
  <c r="Z76" i="17"/>
  <c r="AA76" i="17"/>
  <c r="H91" i="17"/>
  <c r="S91" i="17"/>
  <c r="T91" i="17"/>
  <c r="U91" i="17"/>
  <c r="Y91" i="17"/>
  <c r="Z91" i="17"/>
  <c r="AA91" i="17"/>
  <c r="S78" i="17"/>
  <c r="T78" i="17"/>
  <c r="U78" i="17"/>
  <c r="Y78" i="17"/>
  <c r="Z78" i="17"/>
  <c r="AA78" i="17"/>
  <c r="S79" i="17"/>
  <c r="T79" i="17"/>
  <c r="U79" i="17"/>
  <c r="Y79" i="17"/>
  <c r="Z79" i="17"/>
  <c r="AA79" i="17"/>
  <c r="G41" i="17"/>
  <c r="T41" i="17" s="1"/>
  <c r="S41" i="17"/>
  <c r="U41" i="17"/>
  <c r="Y41" i="17"/>
  <c r="Z41" i="17"/>
  <c r="AA41" i="17"/>
  <c r="G92" i="17"/>
  <c r="U5" i="17" s="1"/>
  <c r="H92" i="17"/>
  <c r="Q92" i="17"/>
  <c r="S92" i="17" s="1"/>
  <c r="U92" i="17"/>
  <c r="Y92" i="17"/>
  <c r="Z92" i="17"/>
  <c r="AA92" i="17"/>
  <c r="S93" i="17"/>
  <c r="T93" i="17"/>
  <c r="U93" i="17"/>
  <c r="Y93" i="17"/>
  <c r="Z93" i="17"/>
  <c r="AA93" i="17"/>
  <c r="S94" i="17"/>
  <c r="T94" i="17"/>
  <c r="U94" i="17"/>
  <c r="Y94" i="17"/>
  <c r="Z94" i="17"/>
  <c r="AA94" i="17"/>
  <c r="S57" i="17"/>
  <c r="T57" i="17"/>
  <c r="U57" i="17"/>
  <c r="Y57" i="17"/>
  <c r="Z57" i="17"/>
  <c r="AA57" i="17"/>
  <c r="S85" i="17"/>
  <c r="T85" i="17"/>
  <c r="U85" i="17"/>
  <c r="Y85" i="17"/>
  <c r="Z85" i="17"/>
  <c r="AA85" i="17"/>
  <c r="S86" i="17"/>
  <c r="T86" i="17"/>
  <c r="U86" i="17"/>
  <c r="Y86" i="17"/>
  <c r="Z86" i="17"/>
  <c r="AA86" i="17"/>
  <c r="S95" i="17"/>
  <c r="T95" i="17"/>
  <c r="U95" i="17"/>
  <c r="Y95" i="17"/>
  <c r="Z95" i="17"/>
  <c r="AA95" i="17"/>
  <c r="S96" i="17"/>
  <c r="T96" i="17"/>
  <c r="U96" i="17"/>
  <c r="Y96" i="17"/>
  <c r="Z96" i="17"/>
  <c r="AA96" i="17"/>
  <c r="S64" i="17"/>
  <c r="T64" i="17"/>
  <c r="U64" i="17"/>
  <c r="Y64" i="17"/>
  <c r="Z64" i="17"/>
  <c r="AA64" i="17"/>
  <c r="S97" i="17"/>
  <c r="T97" i="17"/>
  <c r="U97" i="17"/>
  <c r="Y97" i="17"/>
  <c r="Z97" i="17"/>
  <c r="AA97" i="17"/>
  <c r="H143" i="17"/>
  <c r="S143" i="17"/>
  <c r="T143" i="17"/>
  <c r="U143" i="17"/>
  <c r="Y143" i="17"/>
  <c r="Z143" i="17"/>
  <c r="AA143" i="17"/>
  <c r="S24" i="17"/>
  <c r="T24" i="17"/>
  <c r="U24" i="17"/>
  <c r="Y24" i="17"/>
  <c r="Z24" i="17"/>
  <c r="AA24" i="17"/>
  <c r="S98" i="17"/>
  <c r="T98" i="17"/>
  <c r="U98" i="17"/>
  <c r="Y98" i="17"/>
  <c r="Z98" i="17"/>
  <c r="AA98" i="17"/>
  <c r="S99" i="17"/>
  <c r="T99" i="17"/>
  <c r="U99" i="17"/>
  <c r="Y99" i="17"/>
  <c r="Z99" i="17"/>
  <c r="AA99" i="17"/>
  <c r="H102" i="17"/>
  <c r="S102" i="17"/>
  <c r="T102" i="17"/>
  <c r="U102" i="17"/>
  <c r="Y102" i="17"/>
  <c r="Z102" i="17"/>
  <c r="AA102" i="17"/>
  <c r="S104" i="17"/>
  <c r="T104" i="17"/>
  <c r="U104" i="17"/>
  <c r="Y104" i="17"/>
  <c r="Z104" i="17"/>
  <c r="AA104" i="17"/>
  <c r="H105" i="17"/>
  <c r="S105" i="17"/>
  <c r="T105" i="17"/>
  <c r="U105" i="17"/>
  <c r="Y105" i="17"/>
  <c r="Z105" i="17"/>
  <c r="AA105" i="17"/>
  <c r="S110" i="17"/>
  <c r="T110" i="17"/>
  <c r="U110" i="17"/>
  <c r="Y110" i="17"/>
  <c r="Z110" i="17"/>
  <c r="AA110" i="17"/>
  <c r="H111" i="17"/>
  <c r="S111" i="17"/>
  <c r="T111" i="17"/>
  <c r="U111" i="17"/>
  <c r="Y111" i="17"/>
  <c r="Z111" i="17"/>
  <c r="AA111" i="17"/>
  <c r="S100" i="17"/>
  <c r="T100" i="17"/>
  <c r="U100" i="17"/>
  <c r="Y100" i="17"/>
  <c r="Z100" i="17"/>
  <c r="AA100" i="17"/>
  <c r="S101" i="17"/>
  <c r="T101" i="17"/>
  <c r="U101" i="17"/>
  <c r="Y101" i="17"/>
  <c r="Z101" i="17"/>
  <c r="AA101" i="17"/>
  <c r="H115" i="17"/>
  <c r="S115" i="17"/>
  <c r="T115" i="17"/>
  <c r="U115" i="17"/>
  <c r="Y115" i="17"/>
  <c r="Z115" i="17"/>
  <c r="AA115" i="17"/>
  <c r="H103" i="17"/>
  <c r="S103" i="17"/>
  <c r="T103" i="17"/>
  <c r="U103" i="17"/>
  <c r="Y103" i="17"/>
  <c r="Z103" i="17"/>
  <c r="AA103" i="17"/>
  <c r="H117" i="17"/>
  <c r="S117" i="17"/>
  <c r="T117" i="17"/>
  <c r="U117" i="17"/>
  <c r="Y117" i="17"/>
  <c r="Z117" i="17"/>
  <c r="AA117" i="17"/>
  <c r="H118" i="17"/>
  <c r="S118" i="17"/>
  <c r="T118" i="17"/>
  <c r="U118" i="17"/>
  <c r="Y118" i="17"/>
  <c r="Z118" i="17"/>
  <c r="AA118" i="17"/>
  <c r="H106" i="17"/>
  <c r="S106" i="17"/>
  <c r="T106" i="17"/>
  <c r="U106" i="17"/>
  <c r="Y106" i="17"/>
  <c r="Z106" i="17"/>
  <c r="AA106" i="17"/>
  <c r="H107" i="17"/>
  <c r="S107" i="17"/>
  <c r="T107" i="17"/>
  <c r="U107" i="17"/>
  <c r="Y107" i="17"/>
  <c r="Z107" i="17"/>
  <c r="AA107" i="17"/>
  <c r="H108" i="17"/>
  <c r="S108" i="17"/>
  <c r="T108" i="17"/>
  <c r="U108" i="17"/>
  <c r="Y108" i="17"/>
  <c r="Z108" i="17"/>
  <c r="AA108" i="17"/>
  <c r="H109" i="17"/>
  <c r="S109" i="17"/>
  <c r="T109" i="17"/>
  <c r="U109" i="17"/>
  <c r="Y109" i="17"/>
  <c r="Z109" i="17"/>
  <c r="AA109" i="17"/>
  <c r="H119" i="17"/>
  <c r="S119" i="17"/>
  <c r="T119" i="17"/>
  <c r="U119" i="17"/>
  <c r="Y119" i="17"/>
  <c r="Z119" i="17"/>
  <c r="AA119" i="17"/>
  <c r="H122" i="17"/>
  <c r="S122" i="17"/>
  <c r="T122" i="17"/>
  <c r="U122" i="17"/>
  <c r="Y122" i="17"/>
  <c r="Z122" i="17"/>
  <c r="AA122" i="17"/>
  <c r="H112" i="17"/>
  <c r="S112" i="17"/>
  <c r="T112" i="17"/>
  <c r="U112" i="17"/>
  <c r="Y112" i="17"/>
  <c r="Z112" i="17"/>
  <c r="AA112" i="17"/>
  <c r="H123" i="17"/>
  <c r="S123" i="17"/>
  <c r="T123" i="17"/>
  <c r="U123" i="17"/>
  <c r="Y123" i="17"/>
  <c r="Z123" i="17"/>
  <c r="AA123" i="17"/>
  <c r="H114" i="17"/>
  <c r="S114" i="17"/>
  <c r="T114" i="17"/>
  <c r="U114" i="17"/>
  <c r="Y114" i="17"/>
  <c r="Z114" i="17"/>
  <c r="AA114" i="17"/>
  <c r="S124" i="17"/>
  <c r="T124" i="17"/>
  <c r="U124" i="17"/>
  <c r="Y124" i="17"/>
  <c r="Z124" i="17"/>
  <c r="AA124" i="17"/>
  <c r="H116" i="17"/>
  <c r="S116" i="17"/>
  <c r="T116" i="17"/>
  <c r="U116" i="17"/>
  <c r="Y116" i="17"/>
  <c r="Z116" i="17"/>
  <c r="AA116" i="17"/>
  <c r="S126" i="17"/>
  <c r="T126" i="17"/>
  <c r="U126" i="17"/>
  <c r="Y126" i="17"/>
  <c r="Z126" i="17"/>
  <c r="AA126" i="17"/>
  <c r="H127" i="17"/>
  <c r="S127" i="17"/>
  <c r="T127" i="17"/>
  <c r="U127" i="17"/>
  <c r="Y127" i="17"/>
  <c r="Z127" i="17"/>
  <c r="AA127" i="17"/>
  <c r="H129" i="17"/>
  <c r="S129" i="17"/>
  <c r="T129" i="17"/>
  <c r="U129" i="17"/>
  <c r="Y129" i="17"/>
  <c r="Z129" i="17"/>
  <c r="AA129" i="17"/>
  <c r="K10" i="17"/>
  <c r="S10" i="17"/>
  <c r="T10" i="17"/>
  <c r="U10" i="17"/>
  <c r="Y10" i="17"/>
  <c r="Z10" i="17"/>
  <c r="AA10" i="17"/>
  <c r="H130" i="17"/>
  <c r="S130" i="17"/>
  <c r="T130" i="17"/>
  <c r="U130" i="17"/>
  <c r="Y130" i="17"/>
  <c r="Z130" i="17"/>
  <c r="AA130" i="17"/>
  <c r="H133" i="17"/>
  <c r="S133" i="17"/>
  <c r="T133" i="17"/>
  <c r="U133" i="17"/>
  <c r="Y133" i="17"/>
  <c r="Z133" i="17"/>
  <c r="AA133" i="17"/>
  <c r="H135" i="17"/>
  <c r="S135" i="17"/>
  <c r="T135" i="17"/>
  <c r="U135" i="17"/>
  <c r="Y135" i="17"/>
  <c r="Z135" i="17"/>
  <c r="AA135" i="17"/>
  <c r="H136" i="17"/>
  <c r="S136" i="17"/>
  <c r="T136" i="17"/>
  <c r="U136" i="17"/>
  <c r="Y136" i="17"/>
  <c r="Z136" i="17"/>
  <c r="AA136" i="17"/>
  <c r="H125" i="17"/>
  <c r="S125" i="17"/>
  <c r="T125" i="17"/>
  <c r="U125" i="17"/>
  <c r="Y125" i="17"/>
  <c r="Z125" i="17"/>
  <c r="AA125" i="17"/>
  <c r="H138" i="17"/>
  <c r="S138" i="17"/>
  <c r="T138" i="17"/>
  <c r="U138" i="17"/>
  <c r="Y138" i="17"/>
  <c r="Z138" i="17"/>
  <c r="AA138" i="17"/>
  <c r="H139" i="17"/>
  <c r="S139" i="17"/>
  <c r="T139" i="17"/>
  <c r="U139" i="17"/>
  <c r="Y139" i="17"/>
  <c r="Z139" i="17"/>
  <c r="AA139" i="17"/>
  <c r="H128" i="17"/>
  <c r="S128" i="17"/>
  <c r="T128" i="17"/>
  <c r="U128" i="17"/>
  <c r="Y128" i="17"/>
  <c r="Z128" i="17"/>
  <c r="AA128" i="17"/>
  <c r="S140" i="17"/>
  <c r="T140" i="17"/>
  <c r="U140" i="17"/>
  <c r="Y140" i="17"/>
  <c r="Z140" i="17"/>
  <c r="AA140" i="17"/>
  <c r="K11" i="17"/>
  <c r="S11" i="17"/>
  <c r="T11" i="17"/>
  <c r="U11" i="17"/>
  <c r="Y11" i="17"/>
  <c r="Z11" i="17"/>
  <c r="AA11" i="17"/>
  <c r="H131" i="17"/>
  <c r="S131" i="17"/>
  <c r="T131" i="17"/>
  <c r="U131" i="17"/>
  <c r="Y131" i="17"/>
  <c r="Z131" i="17"/>
  <c r="AA131" i="17"/>
  <c r="H132" i="17"/>
  <c r="S132" i="17"/>
  <c r="T132" i="17"/>
  <c r="U132" i="17"/>
  <c r="Y132" i="17"/>
  <c r="Z132" i="17"/>
  <c r="AA132" i="17"/>
  <c r="H141" i="17"/>
  <c r="S141" i="17"/>
  <c r="T141" i="17"/>
  <c r="U141" i="17"/>
  <c r="Y141" i="17"/>
  <c r="Z141" i="17"/>
  <c r="AA141" i="17"/>
  <c r="H134" i="17"/>
  <c r="S134" i="17"/>
  <c r="T134" i="17"/>
  <c r="U134" i="17"/>
  <c r="Y134" i="17"/>
  <c r="Z134" i="17"/>
  <c r="AA134" i="17"/>
  <c r="H144" i="17"/>
  <c r="S144" i="17"/>
  <c r="T144" i="17"/>
  <c r="U144" i="17"/>
  <c r="Y144" i="17"/>
  <c r="Z144" i="17"/>
  <c r="AA144" i="17"/>
  <c r="H145" i="17"/>
  <c r="S145" i="17"/>
  <c r="T145" i="17"/>
  <c r="U145" i="17"/>
  <c r="Y145" i="17"/>
  <c r="Z145" i="17"/>
  <c r="AA145" i="17"/>
  <c r="H137" i="17"/>
  <c r="S137" i="17"/>
  <c r="T137" i="17"/>
  <c r="U137" i="17"/>
  <c r="Y137" i="17"/>
  <c r="Z137" i="17"/>
  <c r="AA137" i="17"/>
  <c r="H146" i="17"/>
  <c r="S146" i="17"/>
  <c r="T146" i="17"/>
  <c r="U146" i="17"/>
  <c r="Y146" i="17"/>
  <c r="Z146" i="17"/>
  <c r="AA146" i="17"/>
  <c r="H147" i="17"/>
  <c r="S147" i="17"/>
  <c r="T147" i="17"/>
  <c r="U147" i="17"/>
  <c r="Y147" i="17"/>
  <c r="Z147" i="17"/>
  <c r="AA147" i="17"/>
  <c r="H148" i="17"/>
  <c r="S148" i="17"/>
  <c r="T148" i="17"/>
  <c r="U148" i="17"/>
  <c r="Y148" i="17"/>
  <c r="Z148" i="17"/>
  <c r="AA148" i="17"/>
  <c r="H149" i="17"/>
  <c r="S149" i="17"/>
  <c r="T149" i="17"/>
  <c r="U149" i="17"/>
  <c r="Y149" i="17"/>
  <c r="Z149" i="17"/>
  <c r="AA149" i="17"/>
  <c r="S52" i="17"/>
  <c r="T52" i="17"/>
  <c r="U52" i="17"/>
  <c r="Y52" i="17"/>
  <c r="Z52" i="17"/>
  <c r="AA52" i="17"/>
  <c r="S22" i="17"/>
  <c r="T22" i="17"/>
  <c r="U22" i="17"/>
  <c r="Y22" i="17"/>
  <c r="Z22" i="17"/>
  <c r="AA22" i="17"/>
  <c r="H150" i="17"/>
  <c r="S150" i="17"/>
  <c r="T150" i="17"/>
  <c r="U150" i="17"/>
  <c r="Y150" i="17"/>
  <c r="Z150" i="17"/>
  <c r="AA150" i="17"/>
  <c r="S46" i="17"/>
  <c r="T46" i="17"/>
  <c r="U46" i="17"/>
  <c r="Y46" i="17"/>
  <c r="Z46" i="17"/>
  <c r="AA46" i="17"/>
  <c r="H151" i="17"/>
  <c r="S151" i="17"/>
  <c r="T151" i="17"/>
  <c r="U151" i="17"/>
  <c r="Y151" i="17"/>
  <c r="Z151" i="17"/>
  <c r="AA151" i="17"/>
  <c r="S69" i="17"/>
  <c r="T69" i="17"/>
  <c r="U69" i="17"/>
  <c r="Y69" i="17"/>
  <c r="Z69" i="17"/>
  <c r="AA69" i="17"/>
  <c r="H152" i="17"/>
  <c r="S152" i="17"/>
  <c r="T152" i="17"/>
  <c r="U152" i="17"/>
  <c r="Y152" i="17"/>
  <c r="Z152" i="17"/>
  <c r="AA152" i="17"/>
  <c r="S153" i="17"/>
  <c r="T153" i="17"/>
  <c r="U153" i="17"/>
  <c r="Y153" i="17"/>
  <c r="Z153" i="17"/>
  <c r="AA153" i="17"/>
  <c r="H155" i="17"/>
  <c r="S155" i="17"/>
  <c r="T155" i="17"/>
  <c r="U155" i="17"/>
  <c r="Y155" i="17"/>
  <c r="Z155" i="17"/>
  <c r="AA155" i="17"/>
  <c r="H156" i="17"/>
  <c r="S156" i="17"/>
  <c r="T156" i="17"/>
  <c r="U156" i="17"/>
  <c r="Y156" i="17"/>
  <c r="Z156" i="17"/>
  <c r="AA156" i="17"/>
  <c r="H157" i="17"/>
  <c r="S157" i="17"/>
  <c r="T157" i="17"/>
  <c r="U157" i="17"/>
  <c r="Y157" i="17"/>
  <c r="Z157" i="17"/>
  <c r="AA157" i="17"/>
  <c r="H158" i="17"/>
  <c r="S158" i="17"/>
  <c r="T158" i="17"/>
  <c r="U158" i="17"/>
  <c r="Y158" i="17"/>
  <c r="Z158" i="17"/>
  <c r="AA158" i="17"/>
  <c r="H154" i="17"/>
  <c r="S154" i="17"/>
  <c r="T154" i="17"/>
  <c r="U154" i="17"/>
  <c r="Y154" i="17"/>
  <c r="Z154" i="17"/>
  <c r="AA154" i="17"/>
  <c r="H159" i="17"/>
  <c r="S159" i="17"/>
  <c r="T159" i="17"/>
  <c r="U159" i="17"/>
  <c r="Y159" i="17"/>
  <c r="Z159" i="17"/>
  <c r="AA159" i="17"/>
  <c r="H160" i="17"/>
  <c r="S160" i="17"/>
  <c r="T160" i="17"/>
  <c r="U160" i="17"/>
  <c r="Y160" i="17"/>
  <c r="Z160" i="17"/>
  <c r="AA160" i="17"/>
  <c r="H161" i="17"/>
  <c r="S161" i="17"/>
  <c r="T161" i="17"/>
  <c r="U161" i="17"/>
  <c r="Y161" i="17"/>
  <c r="Z161" i="17"/>
  <c r="AA161" i="17"/>
  <c r="S164" i="17"/>
  <c r="T164" i="17"/>
  <c r="U164" i="17"/>
  <c r="Y164" i="17"/>
  <c r="Z164" i="17"/>
  <c r="AA164" i="17"/>
  <c r="H39" i="17"/>
  <c r="S39" i="17"/>
  <c r="T39" i="17"/>
  <c r="U39" i="17"/>
  <c r="Y39" i="17"/>
  <c r="Z39" i="17"/>
  <c r="AA39" i="17"/>
  <c r="H165" i="17"/>
  <c r="S165" i="17"/>
  <c r="T165" i="17"/>
  <c r="U165" i="17"/>
  <c r="Y165" i="17"/>
  <c r="Z165" i="17"/>
  <c r="AA165" i="17"/>
  <c r="H166" i="17"/>
  <c r="S166" i="17"/>
  <c r="T166" i="17"/>
  <c r="U166" i="17"/>
  <c r="Y166" i="17"/>
  <c r="Z166" i="17"/>
  <c r="AA166" i="17"/>
  <c r="H167" i="17"/>
  <c r="S167" i="17"/>
  <c r="T167" i="17"/>
  <c r="U167" i="17"/>
  <c r="Y167" i="17"/>
  <c r="Z167" i="17"/>
  <c r="AA167" i="17"/>
  <c r="H162" i="17"/>
  <c r="S162" i="17"/>
  <c r="T162" i="17"/>
  <c r="U162" i="17"/>
  <c r="Y162" i="17"/>
  <c r="Z162" i="17"/>
  <c r="AA162" i="17"/>
  <c r="H171" i="17"/>
  <c r="S171" i="17"/>
  <c r="T171" i="17"/>
  <c r="U171" i="17"/>
  <c r="Y171" i="17"/>
  <c r="Z171" i="17"/>
  <c r="AA171" i="17"/>
  <c r="H169" i="17"/>
  <c r="S169" i="17"/>
  <c r="T169" i="17"/>
  <c r="U169" i="17"/>
  <c r="Y169" i="17"/>
  <c r="Z169" i="17"/>
  <c r="AA169" i="17"/>
  <c r="H172" i="17"/>
  <c r="S172" i="17"/>
  <c r="T172" i="17"/>
  <c r="U172" i="17"/>
  <c r="Y172" i="17"/>
  <c r="Z172" i="17"/>
  <c r="AA172" i="17"/>
  <c r="H173" i="17"/>
  <c r="S173" i="17"/>
  <c r="T173" i="17"/>
  <c r="U173" i="17"/>
  <c r="Y173" i="17"/>
  <c r="Z173" i="17"/>
  <c r="AA173" i="17"/>
  <c r="H175" i="17"/>
  <c r="S175" i="17"/>
  <c r="T175" i="17"/>
  <c r="U175" i="17"/>
  <c r="Y175" i="17"/>
  <c r="Z175" i="17"/>
  <c r="AA175" i="17"/>
  <c r="H177" i="17"/>
  <c r="S177" i="17"/>
  <c r="T177" i="17"/>
  <c r="U177" i="17"/>
  <c r="Y177" i="17"/>
  <c r="Z177" i="17"/>
  <c r="AA177" i="17"/>
  <c r="H176" i="17"/>
  <c r="S176" i="17"/>
  <c r="T176" i="17"/>
  <c r="U176" i="17"/>
  <c r="Y176" i="17"/>
  <c r="Z176" i="17"/>
  <c r="AA176" i="17"/>
  <c r="H178" i="17"/>
  <c r="S178" i="17"/>
  <c r="T178" i="17"/>
  <c r="U178" i="17"/>
  <c r="Y178" i="17"/>
  <c r="Z178" i="17"/>
  <c r="AA178" i="17"/>
  <c r="H179" i="17"/>
  <c r="S179" i="17"/>
  <c r="T179" i="17"/>
  <c r="U179" i="17"/>
  <c r="Y179" i="17"/>
  <c r="Z179" i="17"/>
  <c r="AA179" i="17"/>
  <c r="S180" i="17"/>
  <c r="T180" i="17"/>
  <c r="U180" i="17"/>
  <c r="Y180" i="17"/>
  <c r="Z180" i="17"/>
  <c r="AA180" i="17"/>
  <c r="S181" i="17"/>
  <c r="T181" i="17"/>
  <c r="U181" i="17"/>
  <c r="Y181" i="17"/>
  <c r="Z181" i="17"/>
  <c r="AA181" i="17"/>
  <c r="H174" i="17"/>
  <c r="S174" i="17"/>
  <c r="T174" i="17"/>
  <c r="U174" i="17"/>
  <c r="Y174" i="17"/>
  <c r="Z174" i="17"/>
  <c r="AA174" i="17"/>
  <c r="H182" i="17"/>
  <c r="S182" i="17"/>
  <c r="T182" i="17"/>
  <c r="U182" i="17"/>
  <c r="Y182" i="17"/>
  <c r="Z182" i="17"/>
  <c r="AA182" i="17"/>
  <c r="H183" i="17"/>
  <c r="S183" i="17"/>
  <c r="T183" i="17"/>
  <c r="U183" i="17"/>
  <c r="Y183" i="17"/>
  <c r="Z183" i="17"/>
  <c r="AA183" i="17"/>
  <c r="H185" i="17"/>
  <c r="S185" i="17"/>
  <c r="T185" i="17"/>
  <c r="U185" i="17"/>
  <c r="Y185" i="17"/>
  <c r="Z185" i="17"/>
  <c r="AA185" i="17"/>
  <c r="H184" i="17"/>
  <c r="S184" i="17"/>
  <c r="T184" i="17"/>
  <c r="U184" i="17"/>
  <c r="Y184" i="17"/>
  <c r="Z184" i="17"/>
  <c r="AA184" i="17"/>
  <c r="H186" i="17"/>
  <c r="S186" i="17"/>
  <c r="T186" i="17"/>
  <c r="U186" i="17"/>
  <c r="Y186" i="17"/>
  <c r="Z186" i="17"/>
  <c r="AA186" i="17"/>
  <c r="H187" i="17"/>
  <c r="S187" i="17"/>
  <c r="T187" i="17"/>
  <c r="U187" i="17"/>
  <c r="Y187" i="17"/>
  <c r="Z187" i="17"/>
  <c r="AA187" i="17"/>
  <c r="H188" i="17"/>
  <c r="S188" i="17"/>
  <c r="T188" i="17"/>
  <c r="U188" i="17"/>
  <c r="Y188" i="17"/>
  <c r="Z188" i="17"/>
  <c r="AA188" i="17"/>
  <c r="H189" i="17"/>
  <c r="S189" i="17"/>
  <c r="T189" i="17"/>
  <c r="U189" i="17"/>
  <c r="Y189" i="17"/>
  <c r="Z189" i="17"/>
  <c r="AA189" i="17"/>
  <c r="H190" i="17"/>
  <c r="S190" i="17"/>
  <c r="T190" i="17"/>
  <c r="U190" i="17"/>
  <c r="Y190" i="17"/>
  <c r="Z190" i="17"/>
  <c r="AA190" i="17"/>
  <c r="H192" i="17"/>
  <c r="S192" i="17"/>
  <c r="T192" i="17"/>
  <c r="U192" i="17"/>
  <c r="Y192" i="17"/>
  <c r="Z192" i="17"/>
  <c r="AA192" i="17"/>
  <c r="H191" i="17"/>
  <c r="S191" i="17"/>
  <c r="T191" i="17"/>
  <c r="U191" i="17"/>
  <c r="Y191" i="17"/>
  <c r="Z191" i="17"/>
  <c r="AA191" i="17"/>
  <c r="H193" i="17"/>
  <c r="S193" i="17"/>
  <c r="T193" i="17"/>
  <c r="U193" i="17"/>
  <c r="Y193" i="17"/>
  <c r="Z193" i="17"/>
  <c r="AA193" i="17"/>
  <c r="H194" i="17"/>
  <c r="S194" i="17"/>
  <c r="T194" i="17"/>
  <c r="U194" i="17"/>
  <c r="Y194" i="17"/>
  <c r="Z194" i="17"/>
  <c r="AA194" i="17"/>
  <c r="H195" i="17"/>
  <c r="S195" i="17"/>
  <c r="T195" i="17"/>
  <c r="U195" i="17"/>
  <c r="Y195" i="17"/>
  <c r="Z195" i="17"/>
  <c r="AA195" i="17"/>
  <c r="H196" i="17"/>
  <c r="S196" i="17"/>
  <c r="T196" i="17"/>
  <c r="U196" i="17"/>
  <c r="Y196" i="17"/>
  <c r="Z196" i="17"/>
  <c r="AA196" i="17"/>
  <c r="H197" i="17"/>
  <c r="S197" i="17"/>
  <c r="T197" i="17"/>
  <c r="U197" i="17"/>
  <c r="Y197" i="17"/>
  <c r="Z197" i="17"/>
  <c r="AA197" i="17"/>
  <c r="H198" i="17"/>
  <c r="S198" i="17"/>
  <c r="T198" i="17"/>
  <c r="U198" i="17"/>
  <c r="Y198" i="17"/>
  <c r="Z198" i="17"/>
  <c r="AA198" i="17"/>
  <c r="H199" i="17"/>
  <c r="S199" i="17"/>
  <c r="T199" i="17"/>
  <c r="U199" i="17"/>
  <c r="Y199" i="17"/>
  <c r="Z199" i="17"/>
  <c r="AA199" i="17"/>
  <c r="H200" i="17"/>
  <c r="S200" i="17"/>
  <c r="T200" i="17"/>
  <c r="U200" i="17"/>
  <c r="Y200" i="17"/>
  <c r="Z200" i="17"/>
  <c r="AA200" i="17"/>
  <c r="H201" i="17"/>
  <c r="S201" i="17"/>
  <c r="T201" i="17"/>
  <c r="U201" i="17"/>
  <c r="Y201" i="17"/>
  <c r="Z201" i="17"/>
  <c r="AA201" i="17"/>
  <c r="H202" i="17"/>
  <c r="S202" i="17"/>
  <c r="T202" i="17"/>
  <c r="U202" i="17"/>
  <c r="Y202" i="17"/>
  <c r="Z202" i="17"/>
  <c r="AA202" i="17"/>
  <c r="H203" i="17"/>
  <c r="S203" i="17"/>
  <c r="T203" i="17"/>
  <c r="U203" i="17"/>
  <c r="Y203" i="17"/>
  <c r="Z203" i="17"/>
  <c r="AA203" i="17"/>
  <c r="H204" i="17"/>
  <c r="S204" i="17"/>
  <c r="T204" i="17"/>
  <c r="U204" i="17"/>
  <c r="Y204" i="17"/>
  <c r="Z204" i="17"/>
  <c r="AA204" i="17"/>
  <c r="H205" i="17"/>
  <c r="S205" i="17"/>
  <c r="T205" i="17"/>
  <c r="U205" i="17"/>
  <c r="Y205" i="17"/>
  <c r="Z205" i="17"/>
  <c r="AA205" i="17"/>
  <c r="H206" i="17"/>
  <c r="S206" i="17"/>
  <c r="T206" i="17"/>
  <c r="U206" i="17"/>
  <c r="Y206" i="17"/>
  <c r="Z206" i="17"/>
  <c r="AA206" i="17"/>
  <c r="H207" i="17"/>
  <c r="S207" i="17"/>
  <c r="T207" i="17"/>
  <c r="U207" i="17"/>
  <c r="Y207" i="17"/>
  <c r="Z207" i="17"/>
  <c r="AA207" i="17"/>
  <c r="H208" i="17"/>
  <c r="S208" i="17"/>
  <c r="T208" i="17"/>
  <c r="U208" i="17"/>
  <c r="Y208" i="17"/>
  <c r="Z208" i="17"/>
  <c r="AA208" i="17"/>
  <c r="H209" i="17"/>
  <c r="S209" i="17"/>
  <c r="T209" i="17"/>
  <c r="U209" i="17"/>
  <c r="Y209" i="17"/>
  <c r="Z209" i="17"/>
  <c r="AA209" i="17"/>
  <c r="H210" i="17"/>
  <c r="S210" i="17"/>
  <c r="T210" i="17"/>
  <c r="U210" i="17"/>
  <c r="Y210" i="17"/>
  <c r="Z210" i="17"/>
  <c r="AA210" i="17"/>
  <c r="H212" i="17"/>
  <c r="S212" i="17"/>
  <c r="T212" i="17"/>
  <c r="U212" i="17"/>
  <c r="Y212" i="17"/>
  <c r="Z212" i="17"/>
  <c r="AA212" i="17"/>
  <c r="S211" i="17"/>
  <c r="T211" i="17"/>
  <c r="U211" i="17"/>
  <c r="Y211" i="17"/>
  <c r="Z211" i="17"/>
  <c r="AA211" i="17"/>
  <c r="H213" i="17"/>
  <c r="S213" i="17"/>
  <c r="T213" i="17"/>
  <c r="U213" i="17"/>
  <c r="Y213" i="17"/>
  <c r="Z213" i="17"/>
  <c r="AA213" i="17"/>
  <c r="H214" i="17"/>
  <c r="S214" i="17"/>
  <c r="T214" i="17"/>
  <c r="U214" i="17"/>
  <c r="Y214" i="17"/>
  <c r="Z214" i="17"/>
  <c r="AA214" i="17"/>
  <c r="H215" i="17"/>
  <c r="S215" i="17"/>
  <c r="T215" i="17"/>
  <c r="U215" i="17"/>
  <c r="Y215" i="17"/>
  <c r="Z215" i="17"/>
  <c r="AA215" i="17"/>
  <c r="H218" i="17"/>
  <c r="S218" i="17"/>
  <c r="T218" i="17"/>
  <c r="U218" i="17"/>
  <c r="Y218" i="17"/>
  <c r="Z218" i="17"/>
  <c r="AA218" i="17"/>
  <c r="S393" i="17"/>
  <c r="T393" i="17"/>
  <c r="U393" i="17"/>
  <c r="Y393" i="17"/>
  <c r="Z393" i="17"/>
  <c r="AA393" i="17"/>
  <c r="G216" i="17"/>
  <c r="H216" i="17"/>
  <c r="U216" i="17"/>
  <c r="Y216" i="17"/>
  <c r="Z216" i="17"/>
  <c r="AA216" i="17"/>
  <c r="H217" i="17"/>
  <c r="S217" i="17"/>
  <c r="T217" i="17"/>
  <c r="U217" i="17"/>
  <c r="Y217" i="17"/>
  <c r="Z217" i="17"/>
  <c r="AA217" i="17"/>
  <c r="H219" i="17"/>
  <c r="S219" i="17"/>
  <c r="T219" i="17"/>
  <c r="U219" i="17"/>
  <c r="Y219" i="17"/>
  <c r="Z219" i="17"/>
  <c r="AA219" i="17"/>
  <c r="H221" i="17"/>
  <c r="S221" i="17"/>
  <c r="T221" i="17"/>
  <c r="U221" i="17"/>
  <c r="Y221" i="17"/>
  <c r="Z221" i="17"/>
  <c r="AA221" i="17"/>
  <c r="H220" i="17"/>
  <c r="S220" i="17"/>
  <c r="T220" i="17"/>
  <c r="U220" i="17"/>
  <c r="Y220" i="17"/>
  <c r="Z220" i="17"/>
  <c r="AA220" i="17"/>
  <c r="H222" i="17"/>
  <c r="S222" i="17"/>
  <c r="T222" i="17"/>
  <c r="U222" i="17"/>
  <c r="Y222" i="17"/>
  <c r="Z222" i="17"/>
  <c r="AA222" i="17"/>
  <c r="S56" i="17"/>
  <c r="T56" i="17"/>
  <c r="U56" i="17"/>
  <c r="Y56" i="17"/>
  <c r="Z56" i="17"/>
  <c r="AA56" i="17"/>
  <c r="H224" i="17"/>
  <c r="S224" i="17"/>
  <c r="T224" i="17"/>
  <c r="U224" i="17"/>
  <c r="Y224" i="17"/>
  <c r="Z224" i="17"/>
  <c r="AA224" i="17"/>
  <c r="H223" i="17"/>
  <c r="S223" i="17"/>
  <c r="T223" i="17"/>
  <c r="U223" i="17"/>
  <c r="Y223" i="17"/>
  <c r="Z223" i="17"/>
  <c r="AA223" i="17"/>
  <c r="S30" i="17"/>
  <c r="T30" i="17"/>
  <c r="U30" i="17"/>
  <c r="Y30" i="17"/>
  <c r="Z30" i="17"/>
  <c r="AA30" i="17"/>
  <c r="H226" i="17"/>
  <c r="S226" i="17"/>
  <c r="T226" i="17"/>
  <c r="U226" i="17"/>
  <c r="Y226" i="17"/>
  <c r="Z226" i="17"/>
  <c r="AA226" i="17"/>
  <c r="H225" i="17"/>
  <c r="S225" i="17"/>
  <c r="T225" i="17"/>
  <c r="U225" i="17"/>
  <c r="Y225" i="17"/>
  <c r="Z225" i="17"/>
  <c r="AA225" i="17"/>
  <c r="S227" i="17"/>
  <c r="T227" i="17"/>
  <c r="U227" i="17"/>
  <c r="Y227" i="17"/>
  <c r="Z227" i="17"/>
  <c r="AA227" i="17"/>
  <c r="H229" i="17"/>
  <c r="S229" i="17"/>
  <c r="T229" i="17"/>
  <c r="U229" i="17"/>
  <c r="Y229" i="17"/>
  <c r="Z229" i="17"/>
  <c r="AA229" i="17"/>
  <c r="U228" i="17"/>
  <c r="Y228" i="17"/>
  <c r="Z228" i="17"/>
  <c r="AA228" i="17"/>
  <c r="S230" i="17"/>
  <c r="T230" i="17"/>
  <c r="U230" i="17"/>
  <c r="Y230" i="17"/>
  <c r="Z230" i="17"/>
  <c r="AA230" i="17"/>
  <c r="H233" i="17"/>
  <c r="S233" i="17"/>
  <c r="T233" i="17"/>
  <c r="U233" i="17"/>
  <c r="Y233" i="17"/>
  <c r="Z233" i="17"/>
  <c r="AA233" i="17"/>
  <c r="G231" i="17"/>
  <c r="T231" i="17" s="1"/>
  <c r="H231" i="17"/>
  <c r="S231" i="17"/>
  <c r="U231" i="17"/>
  <c r="Y231" i="17"/>
  <c r="Z231" i="17"/>
  <c r="AA231" i="17"/>
  <c r="H232" i="17"/>
  <c r="S232" i="17"/>
  <c r="T232" i="17"/>
  <c r="U232" i="17"/>
  <c r="Y232" i="17"/>
  <c r="Z232" i="17"/>
  <c r="AA232" i="17"/>
  <c r="H234" i="17"/>
  <c r="S234" i="17"/>
  <c r="T234" i="17"/>
  <c r="U234" i="17"/>
  <c r="Y234" i="17"/>
  <c r="Z234" i="17"/>
  <c r="AA234" i="17"/>
  <c r="S235" i="17"/>
  <c r="T235" i="17"/>
  <c r="U235" i="17"/>
  <c r="Y235" i="17"/>
  <c r="Z235" i="17"/>
  <c r="AA235" i="17"/>
  <c r="S50" i="17"/>
  <c r="T50" i="17"/>
  <c r="U50" i="17"/>
  <c r="Y50" i="17"/>
  <c r="Z50" i="17"/>
  <c r="AA50" i="17"/>
  <c r="H236" i="17"/>
  <c r="S236" i="17"/>
  <c r="T236" i="17"/>
  <c r="U236" i="17"/>
  <c r="Y236" i="17"/>
  <c r="Z236" i="17"/>
  <c r="AA236" i="17"/>
  <c r="H237" i="17"/>
  <c r="S237" i="17"/>
  <c r="T237" i="17"/>
  <c r="U237" i="17"/>
  <c r="Y237" i="17"/>
  <c r="Z237" i="17"/>
  <c r="AA237" i="17"/>
  <c r="H238" i="17"/>
  <c r="S238" i="17"/>
  <c r="T238" i="17"/>
  <c r="U238" i="17"/>
  <c r="Y238" i="17"/>
  <c r="Z238" i="17"/>
  <c r="AA238" i="17"/>
  <c r="H239" i="17"/>
  <c r="S239" i="17"/>
  <c r="T239" i="17"/>
  <c r="U239" i="17"/>
  <c r="Y239" i="17"/>
  <c r="Z239" i="17"/>
  <c r="AA239" i="17"/>
  <c r="H241" i="17"/>
  <c r="S241" i="17"/>
  <c r="T241" i="17"/>
  <c r="U241" i="17"/>
  <c r="Y241" i="17"/>
  <c r="Z241" i="17"/>
  <c r="AA241" i="17"/>
  <c r="H242" i="17"/>
  <c r="S242" i="17"/>
  <c r="T242" i="17"/>
  <c r="U242" i="17"/>
  <c r="Y242" i="17"/>
  <c r="Z242" i="17"/>
  <c r="AA242" i="17"/>
  <c r="S243" i="17"/>
  <c r="T243" i="17"/>
  <c r="U243" i="17"/>
  <c r="Y243" i="17"/>
  <c r="Z243" i="17"/>
  <c r="AA243" i="17"/>
  <c r="S121" i="17"/>
  <c r="T121" i="17"/>
  <c r="U121" i="17"/>
  <c r="Y121" i="17"/>
  <c r="Z121" i="17"/>
  <c r="AA121" i="17"/>
  <c r="H244" i="17"/>
  <c r="S244" i="17"/>
  <c r="T244" i="17"/>
  <c r="U244" i="17"/>
  <c r="Y244" i="17"/>
  <c r="Z244" i="17"/>
  <c r="AA244" i="17"/>
  <c r="H245" i="17"/>
  <c r="S245" i="17"/>
  <c r="T245" i="17"/>
  <c r="U245" i="17"/>
  <c r="Y245" i="17"/>
  <c r="Z245" i="17"/>
  <c r="AA245" i="17"/>
  <c r="H246" i="17"/>
  <c r="S246" i="17"/>
  <c r="T246" i="17"/>
  <c r="U246" i="17"/>
  <c r="Y246" i="17"/>
  <c r="Z246" i="17"/>
  <c r="AA246" i="17"/>
  <c r="H247" i="17"/>
  <c r="S247" i="17"/>
  <c r="T247" i="17"/>
  <c r="U247" i="17"/>
  <c r="Y247" i="17"/>
  <c r="Z247" i="17"/>
  <c r="AA247" i="17"/>
  <c r="H248" i="17"/>
  <c r="S248" i="17"/>
  <c r="T248" i="17"/>
  <c r="U248" i="17"/>
  <c r="Y248" i="17"/>
  <c r="Z248" i="17"/>
  <c r="AA248" i="17"/>
  <c r="H250" i="17"/>
  <c r="S250" i="17"/>
  <c r="T250" i="17"/>
  <c r="U250" i="17"/>
  <c r="Y250" i="17"/>
  <c r="Z250" i="17"/>
  <c r="AA250" i="17"/>
  <c r="H249" i="17"/>
  <c r="S249" i="17"/>
  <c r="T249" i="17"/>
  <c r="U249" i="17"/>
  <c r="Y249" i="17"/>
  <c r="Z249" i="17"/>
  <c r="AA249" i="17"/>
  <c r="H251" i="17"/>
  <c r="S251" i="17"/>
  <c r="T251" i="17"/>
  <c r="U251" i="17"/>
  <c r="Y251" i="17"/>
  <c r="Z251" i="17"/>
  <c r="AA251" i="17"/>
  <c r="H252" i="17"/>
  <c r="S252" i="17"/>
  <c r="T252" i="17"/>
  <c r="U252" i="17"/>
  <c r="Y252" i="17"/>
  <c r="Z252" i="17"/>
  <c r="AA252" i="17"/>
  <c r="U258" i="17"/>
  <c r="Y258" i="17"/>
  <c r="Z258" i="17"/>
  <c r="AA258" i="17"/>
  <c r="H253" i="17"/>
  <c r="S253" i="17"/>
  <c r="T253" i="17"/>
  <c r="U253" i="17"/>
  <c r="Y253" i="17"/>
  <c r="Z253" i="17"/>
  <c r="AA253" i="17"/>
  <c r="H255" i="17"/>
  <c r="S255" i="17"/>
  <c r="T255" i="17"/>
  <c r="U255" i="17"/>
  <c r="Y255" i="17"/>
  <c r="Z255" i="17"/>
  <c r="AA255" i="17"/>
  <c r="U240" i="17"/>
  <c r="Y240" i="17"/>
  <c r="Z240" i="17"/>
  <c r="AA240" i="17"/>
  <c r="H254" i="17"/>
  <c r="U254" i="17"/>
  <c r="Y254" i="17"/>
  <c r="Z254" i="17"/>
  <c r="AA254" i="17"/>
  <c r="H256" i="17"/>
  <c r="S256" i="17"/>
  <c r="T256" i="17"/>
  <c r="U256" i="17"/>
  <c r="Y256" i="17"/>
  <c r="Z256" i="17"/>
  <c r="AA256" i="17"/>
  <c r="H265" i="17"/>
  <c r="S265" i="17"/>
  <c r="T265" i="17"/>
  <c r="U265" i="17"/>
  <c r="H77" i="17"/>
  <c r="S77" i="17"/>
  <c r="T77" i="17"/>
  <c r="U77" i="17"/>
  <c r="Y77" i="17"/>
  <c r="Z77" i="17"/>
  <c r="AA77" i="17"/>
  <c r="H259" i="17"/>
  <c r="S259" i="17"/>
  <c r="T259" i="17"/>
  <c r="U259" i="17"/>
  <c r="Y259" i="17"/>
  <c r="Z259" i="17"/>
  <c r="AA259" i="17"/>
  <c r="H261" i="17"/>
  <c r="S261" i="17"/>
  <c r="T261" i="17"/>
  <c r="U261" i="17"/>
  <c r="Y261" i="17"/>
  <c r="Z261" i="17"/>
  <c r="AA261" i="17"/>
  <c r="H262" i="17"/>
  <c r="S262" i="17"/>
  <c r="T262" i="17"/>
  <c r="U262" i="17"/>
  <c r="Y262" i="17"/>
  <c r="Z262" i="17"/>
  <c r="AA262" i="17"/>
  <c r="H263" i="17"/>
  <c r="S263" i="17"/>
  <c r="T263" i="17"/>
  <c r="U263" i="17"/>
  <c r="Y263" i="17"/>
  <c r="Z263" i="17"/>
  <c r="AA263" i="17"/>
  <c r="H264" i="17"/>
  <c r="S264" i="17"/>
  <c r="T264" i="17"/>
  <c r="U264" i="17"/>
  <c r="Y264" i="17"/>
  <c r="Z264" i="17"/>
  <c r="AA264" i="17"/>
  <c r="H266" i="17"/>
  <c r="S266" i="17"/>
  <c r="T266" i="17"/>
  <c r="U266" i="17"/>
  <c r="Y266" i="17"/>
  <c r="Z266" i="17"/>
  <c r="AA266" i="17"/>
  <c r="S168" i="17"/>
  <c r="T168" i="17"/>
  <c r="U168" i="17"/>
  <c r="Y168" i="17"/>
  <c r="Z168" i="17"/>
  <c r="AA168" i="17"/>
  <c r="U260" i="17"/>
  <c r="S267" i="17"/>
  <c r="T267" i="17"/>
  <c r="U267" i="17"/>
  <c r="Y267" i="17"/>
  <c r="Z267" i="17"/>
  <c r="AA267" i="17"/>
  <c r="H269" i="17"/>
  <c r="S269" i="17"/>
  <c r="T269" i="17"/>
  <c r="U269" i="17"/>
  <c r="Y269" i="17"/>
  <c r="Z269" i="17"/>
  <c r="AA269" i="17"/>
  <c r="H270" i="17"/>
  <c r="S270" i="17"/>
  <c r="T270" i="17"/>
  <c r="U270" i="17"/>
  <c r="Y270" i="17"/>
  <c r="Z270" i="17"/>
  <c r="AA270" i="17"/>
  <c r="H271" i="17"/>
  <c r="S271" i="17"/>
  <c r="T271" i="17"/>
  <c r="U271" i="17"/>
  <c r="Y271" i="17"/>
  <c r="Z271" i="17"/>
  <c r="AA271" i="17"/>
  <c r="H272" i="17"/>
  <c r="S272" i="17"/>
  <c r="T272" i="17"/>
  <c r="U272" i="17"/>
  <c r="Y272" i="17"/>
  <c r="Z272" i="17"/>
  <c r="AA272" i="17"/>
  <c r="H273" i="17"/>
  <c r="S273" i="17"/>
  <c r="T273" i="17"/>
  <c r="U273" i="17"/>
  <c r="Y273" i="17"/>
  <c r="Z273" i="17"/>
  <c r="AA273" i="17"/>
  <c r="H275" i="17"/>
  <c r="S275" i="17"/>
  <c r="T275" i="17"/>
  <c r="U275" i="17"/>
  <c r="Y275" i="17"/>
  <c r="Z275" i="17"/>
  <c r="AA275" i="17"/>
  <c r="H276" i="17"/>
  <c r="S276" i="17"/>
  <c r="T276" i="17"/>
  <c r="U276" i="17"/>
  <c r="Y276" i="17"/>
  <c r="Z276" i="17"/>
  <c r="AA276" i="17"/>
  <c r="H277" i="17"/>
  <c r="S277" i="17"/>
  <c r="T277" i="17"/>
  <c r="U277" i="17"/>
  <c r="Y277" i="17"/>
  <c r="Z277" i="17"/>
  <c r="AA277" i="17"/>
  <c r="H278" i="17"/>
  <c r="S278" i="17"/>
  <c r="T278" i="17"/>
  <c r="U278" i="17"/>
  <c r="Y278" i="17"/>
  <c r="Z278" i="17"/>
  <c r="AA278" i="17"/>
  <c r="U268" i="17"/>
  <c r="H279" i="17"/>
  <c r="S279" i="17"/>
  <c r="T279" i="17"/>
  <c r="U279" i="17"/>
  <c r="Y279" i="17"/>
  <c r="Z279" i="17"/>
  <c r="AA279" i="17"/>
  <c r="H283" i="17"/>
  <c r="S283" i="17"/>
  <c r="T283" i="17"/>
  <c r="U283" i="17"/>
  <c r="Y283" i="17"/>
  <c r="Z283" i="17"/>
  <c r="AA283" i="17"/>
  <c r="H280" i="17"/>
  <c r="S280" i="17"/>
  <c r="T280" i="17"/>
  <c r="U280" i="17"/>
  <c r="H282" i="17"/>
  <c r="S282" i="17"/>
  <c r="T282" i="17"/>
  <c r="U282" i="17"/>
  <c r="H284" i="17"/>
  <c r="S284" i="17"/>
  <c r="T284" i="17"/>
  <c r="U284" i="17"/>
  <c r="Y284" i="17"/>
  <c r="Z284" i="17"/>
  <c r="AA284" i="17"/>
  <c r="H286" i="17"/>
  <c r="S286" i="17"/>
  <c r="T286" i="17"/>
  <c r="U286" i="17"/>
  <c r="Y286" i="17"/>
  <c r="Z286" i="17"/>
  <c r="AA286" i="17"/>
  <c r="U274" i="17"/>
  <c r="U257" i="17"/>
  <c r="Y257" i="17"/>
  <c r="Z257" i="17"/>
  <c r="AA257" i="17"/>
  <c r="U281" i="17"/>
  <c r="U285" i="17"/>
  <c r="H287" i="17"/>
  <c r="S287" i="17"/>
  <c r="T287" i="17"/>
  <c r="U287" i="17"/>
  <c r="Y287" i="17"/>
  <c r="Z287" i="17"/>
  <c r="AA287" i="17"/>
  <c r="H288" i="17"/>
  <c r="S288" i="17"/>
  <c r="T288" i="17"/>
  <c r="U288" i="17"/>
  <c r="Y288" i="17"/>
  <c r="Z288" i="17"/>
  <c r="AA288" i="17"/>
  <c r="H289" i="17"/>
  <c r="S289" i="17"/>
  <c r="T289" i="17"/>
  <c r="U289" i="17"/>
  <c r="Y289" i="17"/>
  <c r="Z289" i="17"/>
  <c r="AA289" i="17"/>
  <c r="H290" i="17"/>
  <c r="S290" i="17"/>
  <c r="T290" i="17"/>
  <c r="U290" i="17"/>
  <c r="Y290" i="17"/>
  <c r="Z290" i="17"/>
  <c r="AA290" i="17"/>
  <c r="H291" i="17"/>
  <c r="S291" i="17"/>
  <c r="T291" i="17"/>
  <c r="U291" i="17"/>
  <c r="Y291" i="17"/>
  <c r="Z291" i="17"/>
  <c r="AA291" i="17"/>
  <c r="H292" i="17"/>
  <c r="S292" i="17"/>
  <c r="T292" i="17"/>
  <c r="U292" i="17"/>
  <c r="Y292" i="17"/>
  <c r="Z292" i="17"/>
  <c r="AA292" i="17"/>
  <c r="H295" i="17"/>
  <c r="S295" i="17"/>
  <c r="T295" i="17"/>
  <c r="U295" i="17"/>
  <c r="Y295" i="17"/>
  <c r="Z295" i="17"/>
  <c r="AA295" i="17"/>
  <c r="U294" i="17"/>
  <c r="H296" i="17"/>
  <c r="S296" i="17"/>
  <c r="T296" i="17"/>
  <c r="U296" i="17"/>
  <c r="Y296" i="17"/>
  <c r="Z296" i="17"/>
  <c r="AA296" i="17"/>
  <c r="H297" i="17"/>
  <c r="S297" i="17"/>
  <c r="T297" i="17"/>
  <c r="U297" i="17"/>
  <c r="Y297" i="17"/>
  <c r="Z297" i="17"/>
  <c r="AA297" i="17"/>
  <c r="U293" i="17"/>
  <c r="S298" i="17"/>
  <c r="T298" i="17"/>
  <c r="U298" i="17"/>
  <c r="Y298" i="17"/>
  <c r="Z298" i="17"/>
  <c r="AA298" i="17"/>
  <c r="H299" i="17"/>
  <c r="S299" i="17"/>
  <c r="T299" i="17"/>
  <c r="U299" i="17"/>
  <c r="Y299" i="17"/>
  <c r="Z299" i="17"/>
  <c r="AA299" i="17"/>
  <c r="H300" i="17"/>
  <c r="S300" i="17"/>
  <c r="T300" i="17"/>
  <c r="U300" i="17"/>
  <c r="Y300" i="17"/>
  <c r="Z300" i="17"/>
  <c r="AA300" i="17"/>
  <c r="H301" i="17"/>
  <c r="S301" i="17"/>
  <c r="T301" i="17"/>
  <c r="U301" i="17"/>
  <c r="Y301" i="17"/>
  <c r="Z301" i="17"/>
  <c r="AA301" i="17"/>
  <c r="H302" i="17"/>
  <c r="S302" i="17"/>
  <c r="T302" i="17"/>
  <c r="U302" i="17"/>
  <c r="Y302" i="17"/>
  <c r="Z302" i="17"/>
  <c r="AA302" i="17"/>
  <c r="H303" i="17"/>
  <c r="S303" i="17"/>
  <c r="T303" i="17"/>
  <c r="U303" i="17"/>
  <c r="Y303" i="17"/>
  <c r="Z303" i="17"/>
  <c r="AA303" i="17"/>
  <c r="H304" i="17"/>
  <c r="S304" i="17"/>
  <c r="T304" i="17"/>
  <c r="U304" i="17"/>
  <c r="Y304" i="17"/>
  <c r="Z304" i="17"/>
  <c r="AA304" i="17"/>
  <c r="H305" i="17"/>
  <c r="S305" i="17"/>
  <c r="T305" i="17"/>
  <c r="U305" i="17"/>
  <c r="Y305" i="17"/>
  <c r="Z305" i="17"/>
  <c r="AA305" i="17"/>
  <c r="H306" i="17"/>
  <c r="S306" i="17"/>
  <c r="T306" i="17"/>
  <c r="U306" i="17"/>
  <c r="Y306" i="17"/>
  <c r="Z306" i="17"/>
  <c r="AA306" i="17"/>
  <c r="H307" i="17"/>
  <c r="S307" i="17"/>
  <c r="T307" i="17"/>
  <c r="U307" i="17"/>
  <c r="Y307" i="17"/>
  <c r="Z307" i="17"/>
  <c r="AA307" i="17"/>
  <c r="H308" i="17"/>
  <c r="S308" i="17"/>
  <c r="T308" i="17"/>
  <c r="U308" i="17"/>
  <c r="Y308" i="17"/>
  <c r="Z308" i="17"/>
  <c r="AA308" i="17"/>
  <c r="H309" i="17"/>
  <c r="S309" i="17"/>
  <c r="T309" i="17"/>
  <c r="U309" i="17"/>
  <c r="Y309" i="17"/>
  <c r="Z309" i="17"/>
  <c r="AA309" i="17"/>
  <c r="S311" i="17"/>
  <c r="T311" i="17"/>
  <c r="U311" i="17"/>
  <c r="Y311" i="17"/>
  <c r="Z311" i="17"/>
  <c r="AA311" i="17"/>
  <c r="S310" i="17"/>
  <c r="T310" i="17"/>
  <c r="U310" i="17"/>
  <c r="Y310" i="17"/>
  <c r="Z310" i="17"/>
  <c r="AA310" i="17"/>
  <c r="H312" i="17"/>
  <c r="S312" i="17"/>
  <c r="T312" i="17"/>
  <c r="U312" i="17"/>
  <c r="Y312" i="17"/>
  <c r="Z312" i="17"/>
  <c r="AA312" i="17"/>
  <c r="S313" i="17"/>
  <c r="T313" i="17"/>
  <c r="U313" i="17"/>
  <c r="Y313" i="17"/>
  <c r="Z313" i="17"/>
  <c r="AA313" i="17"/>
  <c r="H314" i="17"/>
  <c r="S314" i="17"/>
  <c r="T314" i="17"/>
  <c r="U314" i="17"/>
  <c r="Y314" i="17"/>
  <c r="Z314" i="17"/>
  <c r="AA314" i="17"/>
  <c r="H315" i="17"/>
  <c r="S315" i="17"/>
  <c r="T315" i="17"/>
  <c r="U315" i="17"/>
  <c r="Y315" i="17"/>
  <c r="Z315" i="17"/>
  <c r="AA315" i="17"/>
  <c r="H316" i="17"/>
  <c r="S316" i="17"/>
  <c r="T316" i="17"/>
  <c r="U316" i="17"/>
  <c r="Y316" i="17"/>
  <c r="Z316" i="17"/>
  <c r="AA316" i="17"/>
  <c r="H318" i="17"/>
  <c r="S318" i="17"/>
  <c r="T318" i="17"/>
  <c r="U318" i="17"/>
  <c r="Y318" i="17"/>
  <c r="Z318" i="17"/>
  <c r="AA318" i="17"/>
  <c r="U317" i="17"/>
  <c r="H319" i="17"/>
  <c r="S319" i="17"/>
  <c r="T319" i="17"/>
  <c r="U319" i="17"/>
  <c r="Y319" i="17"/>
  <c r="Z319" i="17"/>
  <c r="AA319" i="17"/>
  <c r="H320" i="17"/>
  <c r="S320" i="17"/>
  <c r="T320" i="17"/>
  <c r="U320" i="17"/>
  <c r="Y320" i="17"/>
  <c r="Z320" i="17"/>
  <c r="AA320" i="17"/>
  <c r="H321" i="17"/>
  <c r="S321" i="17"/>
  <c r="T321" i="17"/>
  <c r="U321" i="17"/>
  <c r="Y321" i="17"/>
  <c r="Z321" i="17"/>
  <c r="AA321" i="17"/>
  <c r="U322" i="17"/>
  <c r="Y322" i="17"/>
  <c r="Z322" i="17"/>
  <c r="AA322" i="17"/>
  <c r="H323" i="17"/>
  <c r="S323" i="17"/>
  <c r="T323" i="17"/>
  <c r="U323" i="17"/>
  <c r="Y323" i="17"/>
  <c r="Z323" i="17"/>
  <c r="AA323" i="17"/>
  <c r="H324" i="17"/>
  <c r="S324" i="17"/>
  <c r="T324" i="17"/>
  <c r="U324" i="17"/>
  <c r="Y324" i="17"/>
  <c r="Z324" i="17"/>
  <c r="AA324" i="17"/>
  <c r="H325" i="17"/>
  <c r="S325" i="17"/>
  <c r="T325" i="17"/>
  <c r="U325" i="17"/>
  <c r="Y325" i="17"/>
  <c r="Z325" i="17"/>
  <c r="AA325" i="17"/>
  <c r="H326" i="17"/>
  <c r="S326" i="17"/>
  <c r="T326" i="17"/>
  <c r="U326" i="17"/>
  <c r="Y326" i="17"/>
  <c r="Z326" i="17"/>
  <c r="AA326" i="17"/>
  <c r="H327" i="17"/>
  <c r="S327" i="17"/>
  <c r="T327" i="17"/>
  <c r="U327" i="17"/>
  <c r="Y327" i="17"/>
  <c r="Z327" i="17"/>
  <c r="AA327" i="17"/>
  <c r="H328" i="17"/>
  <c r="S328" i="17"/>
  <c r="T328" i="17"/>
  <c r="U328" i="17"/>
  <c r="Y328" i="17"/>
  <c r="Z328" i="17"/>
  <c r="AA328" i="17"/>
  <c r="H329" i="17"/>
  <c r="S329" i="17"/>
  <c r="T329" i="17"/>
  <c r="U329" i="17"/>
  <c r="Y329" i="17"/>
  <c r="Z329" i="17"/>
  <c r="AA329" i="17"/>
  <c r="H330" i="17"/>
  <c r="S330" i="17"/>
  <c r="T330" i="17"/>
  <c r="U330" i="17"/>
  <c r="Y330" i="17"/>
  <c r="Z330" i="17"/>
  <c r="AA330" i="17"/>
  <c r="H332" i="17"/>
  <c r="S332" i="17"/>
  <c r="T332" i="17"/>
  <c r="U332" i="17"/>
  <c r="Y332" i="17"/>
  <c r="Z332" i="17"/>
  <c r="AA332" i="17"/>
  <c r="U331" i="17"/>
  <c r="Y331" i="17"/>
  <c r="Z331" i="17"/>
  <c r="AA331" i="17"/>
  <c r="H333" i="17"/>
  <c r="S333" i="17"/>
  <c r="T333" i="17"/>
  <c r="U333" i="17"/>
  <c r="Y333" i="17"/>
  <c r="Z333" i="17"/>
  <c r="AA333" i="17"/>
  <c r="H334" i="17"/>
  <c r="S334" i="17"/>
  <c r="T334" i="17"/>
  <c r="U334" i="17"/>
  <c r="Y334" i="17"/>
  <c r="Z334" i="17"/>
  <c r="AA334" i="17"/>
  <c r="S335" i="17"/>
  <c r="T335" i="17"/>
  <c r="U335" i="17"/>
  <c r="Y335" i="17"/>
  <c r="Z335" i="17"/>
  <c r="AA335" i="17"/>
  <c r="H336" i="17"/>
  <c r="S336" i="17"/>
  <c r="T336" i="17"/>
  <c r="U336" i="17"/>
  <c r="Y336" i="17"/>
  <c r="Z336" i="17"/>
  <c r="AA336" i="17"/>
  <c r="H337" i="17"/>
  <c r="S337" i="17"/>
  <c r="T337" i="17"/>
  <c r="U337" i="17"/>
  <c r="Y337" i="17"/>
  <c r="Z337" i="17"/>
  <c r="AA337" i="17"/>
  <c r="H338" i="17"/>
  <c r="S338" i="17"/>
  <c r="T338" i="17"/>
  <c r="U338" i="17"/>
  <c r="Y338" i="17"/>
  <c r="Z338" i="17"/>
  <c r="AA338" i="17"/>
  <c r="H339" i="17"/>
  <c r="S339" i="17"/>
  <c r="T339" i="17"/>
  <c r="U339" i="17"/>
  <c r="Y339" i="17"/>
  <c r="Z339" i="17"/>
  <c r="AA339" i="17"/>
  <c r="H340" i="17"/>
  <c r="S340" i="17"/>
  <c r="T340" i="17"/>
  <c r="U340" i="17"/>
  <c r="Y340" i="17"/>
  <c r="Z340" i="17"/>
  <c r="AA340" i="17"/>
  <c r="H341" i="17"/>
  <c r="S341" i="17"/>
  <c r="T341" i="17"/>
  <c r="U341" i="17"/>
  <c r="Y341" i="17"/>
  <c r="Z341" i="17"/>
  <c r="AA341" i="17"/>
  <c r="H342" i="17"/>
  <c r="S342" i="17"/>
  <c r="T342" i="17"/>
  <c r="U342" i="17"/>
  <c r="Y342" i="17"/>
  <c r="Z342" i="17"/>
  <c r="AA342" i="17"/>
  <c r="H343" i="17"/>
  <c r="S343" i="17"/>
  <c r="T343" i="17"/>
  <c r="U343" i="17"/>
  <c r="Y343" i="17"/>
  <c r="Z343" i="17"/>
  <c r="AA343" i="17"/>
  <c r="H344" i="17"/>
  <c r="S344" i="17"/>
  <c r="T344" i="17"/>
  <c r="U344" i="17"/>
  <c r="Y344" i="17"/>
  <c r="Z344" i="17"/>
  <c r="AA344" i="17"/>
  <c r="U345" i="17"/>
  <c r="Y345" i="17"/>
  <c r="Z345" i="17"/>
  <c r="AA345" i="17"/>
  <c r="H346" i="17"/>
  <c r="S346" i="17"/>
  <c r="T346" i="17"/>
  <c r="U346" i="17"/>
  <c r="Y346" i="17"/>
  <c r="Z346" i="17"/>
  <c r="AA346" i="17"/>
  <c r="H347" i="17"/>
  <c r="S347" i="17"/>
  <c r="T347" i="17"/>
  <c r="U347" i="17"/>
  <c r="Y347" i="17"/>
  <c r="Z347" i="17"/>
  <c r="AA347" i="17"/>
  <c r="H348" i="17"/>
  <c r="S348" i="17"/>
  <c r="T348" i="17"/>
  <c r="U348" i="17"/>
  <c r="Y348" i="17"/>
  <c r="Z348" i="17"/>
  <c r="AA348" i="17"/>
  <c r="U421" i="17"/>
  <c r="Y421" i="17"/>
  <c r="Z421" i="17"/>
  <c r="AA421" i="17"/>
  <c r="U425" i="17"/>
  <c r="Y425" i="17"/>
  <c r="Z425" i="17"/>
  <c r="AA425" i="17"/>
  <c r="H349" i="17"/>
  <c r="Q349" i="17"/>
  <c r="Q5" i="17" s="1"/>
  <c r="U349" i="17"/>
  <c r="Y349" i="17"/>
  <c r="Z349" i="17"/>
  <c r="AA349" i="17"/>
  <c r="H350" i="17"/>
  <c r="S350" i="17"/>
  <c r="T350" i="17"/>
  <c r="U350" i="17"/>
  <c r="Y350" i="17"/>
  <c r="Z350" i="17"/>
  <c r="AA350" i="17"/>
  <c r="U351" i="17"/>
  <c r="Y351" i="17"/>
  <c r="Z351" i="17"/>
  <c r="AA351" i="17"/>
  <c r="H353" i="17"/>
  <c r="S353" i="17"/>
  <c r="T353" i="17"/>
  <c r="U353" i="17"/>
  <c r="Y353" i="17"/>
  <c r="Z353" i="17"/>
  <c r="AA353" i="17"/>
  <c r="H354" i="17"/>
  <c r="S354" i="17"/>
  <c r="T354" i="17"/>
  <c r="U354" i="17"/>
  <c r="Y354" i="17"/>
  <c r="Z354" i="17"/>
  <c r="AA354" i="17"/>
  <c r="H355" i="17"/>
  <c r="S355" i="17"/>
  <c r="T355" i="17"/>
  <c r="U355" i="17"/>
  <c r="Y355" i="17"/>
  <c r="Z355" i="17"/>
  <c r="AA355" i="17"/>
  <c r="S352" i="17"/>
  <c r="T352" i="17"/>
  <c r="U352" i="17"/>
  <c r="Y352" i="17"/>
  <c r="Z352" i="17"/>
  <c r="AA352" i="17"/>
  <c r="H356" i="17"/>
  <c r="S356" i="17"/>
  <c r="T356" i="17"/>
  <c r="U356" i="17"/>
  <c r="Y356" i="17"/>
  <c r="Z356" i="17"/>
  <c r="AA356" i="17"/>
  <c r="S357" i="17"/>
  <c r="T357" i="17"/>
  <c r="U357" i="17"/>
  <c r="Y357" i="17"/>
  <c r="Z357" i="17"/>
  <c r="AA357" i="17"/>
  <c r="U427" i="17"/>
  <c r="Y427" i="17"/>
  <c r="Z427" i="17"/>
  <c r="AA427" i="17"/>
  <c r="H358" i="17"/>
  <c r="S358" i="17"/>
  <c r="T358" i="17"/>
  <c r="U358" i="17"/>
  <c r="Y358" i="17"/>
  <c r="Z358" i="17"/>
  <c r="AA358" i="17"/>
  <c r="Y426" i="17"/>
  <c r="Z426" i="17"/>
  <c r="AA426" i="17"/>
  <c r="H359" i="17"/>
  <c r="S359" i="17"/>
  <c r="T359" i="17"/>
  <c r="U359" i="17"/>
  <c r="Y359" i="17"/>
  <c r="Z359" i="17"/>
  <c r="AA359" i="17"/>
  <c r="H360" i="17"/>
  <c r="S360" i="17"/>
  <c r="T360" i="17"/>
  <c r="U360" i="17"/>
  <c r="Y360" i="17"/>
  <c r="Z360" i="17"/>
  <c r="AA360" i="17"/>
  <c r="H361" i="17"/>
  <c r="S361" i="17"/>
  <c r="T361" i="17"/>
  <c r="U361" i="17"/>
  <c r="Y361" i="17"/>
  <c r="Z361" i="17"/>
  <c r="AA361" i="17"/>
  <c r="H362" i="17"/>
  <c r="S362" i="17"/>
  <c r="T362" i="17"/>
  <c r="U362" i="17"/>
  <c r="Y362" i="17"/>
  <c r="Z362" i="17"/>
  <c r="AA362" i="17"/>
  <c r="H364" i="17"/>
  <c r="S364" i="17"/>
  <c r="T364" i="17"/>
  <c r="U364" i="17"/>
  <c r="Y364" i="17"/>
  <c r="Z364" i="17"/>
  <c r="AA364" i="17"/>
  <c r="U428" i="17"/>
  <c r="Y428" i="17"/>
  <c r="Z428" i="17"/>
  <c r="AA428" i="17"/>
  <c r="U363" i="17"/>
  <c r="H365" i="17"/>
  <c r="S365" i="17"/>
  <c r="T365" i="17"/>
  <c r="U365" i="17"/>
  <c r="Y365" i="17"/>
  <c r="Z365" i="17"/>
  <c r="AA365" i="17"/>
  <c r="H366" i="17"/>
  <c r="S366" i="17"/>
  <c r="T366" i="17"/>
  <c r="U366" i="17"/>
  <c r="Y366" i="17"/>
  <c r="Z366" i="17"/>
  <c r="AA366" i="17"/>
  <c r="S367" i="17"/>
  <c r="T367" i="17"/>
  <c r="U367" i="17"/>
  <c r="Y367" i="17"/>
  <c r="Z367" i="17"/>
  <c r="AA367" i="17"/>
  <c r="U424" i="17"/>
  <c r="Y424" i="17"/>
  <c r="Z424" i="17"/>
  <c r="AA424" i="17"/>
  <c r="U423" i="17"/>
  <c r="Y423" i="17"/>
  <c r="Z423" i="17"/>
  <c r="AA423" i="17"/>
  <c r="U422" i="17"/>
  <c r="Y422" i="17"/>
  <c r="AA422" i="17"/>
  <c r="H368" i="17"/>
  <c r="S368" i="17"/>
  <c r="T368" i="17"/>
  <c r="U368" i="17"/>
  <c r="Y368" i="17"/>
  <c r="Z368" i="17"/>
  <c r="AA368" i="17"/>
  <c r="U369" i="17"/>
  <c r="Y369" i="17"/>
  <c r="Z369" i="17"/>
  <c r="AA369" i="17"/>
  <c r="U429" i="17"/>
  <c r="Y429" i="17"/>
  <c r="AA429" i="17"/>
  <c r="S370" i="17"/>
  <c r="T370" i="17"/>
  <c r="U370" i="17"/>
  <c r="Y370" i="17"/>
  <c r="Z370" i="17"/>
  <c r="AA370" i="17"/>
  <c r="H371" i="17"/>
  <c r="S371" i="17"/>
  <c r="T371" i="17"/>
  <c r="U371" i="17"/>
  <c r="H372" i="17"/>
  <c r="S372" i="17"/>
  <c r="T372" i="17"/>
  <c r="U372" i="17"/>
  <c r="S373" i="17"/>
  <c r="T373" i="17"/>
  <c r="U373" i="17"/>
  <c r="H374" i="17"/>
  <c r="S374" i="17"/>
  <c r="T374" i="17"/>
  <c r="U374" i="17"/>
  <c r="H375" i="17"/>
  <c r="S375" i="17"/>
  <c r="T375" i="17"/>
  <c r="U375" i="17"/>
  <c r="U6" i="17" l="1"/>
  <c r="AA6" i="17"/>
  <c r="Z6" i="17"/>
  <c r="T216" i="17"/>
  <c r="T349" i="17"/>
  <c r="S349" i="17"/>
  <c r="T16" i="17"/>
  <c r="Q4" i="17"/>
  <c r="T92" i="17"/>
  <c r="U377" i="17"/>
  <c r="U376" i="17"/>
  <c r="AB93" i="15" l="1"/>
  <c r="AB94" i="15"/>
  <c r="AB95" i="15"/>
  <c r="AB96" i="15"/>
  <c r="AA81" i="15"/>
  <c r="AB81" i="15" s="1"/>
  <c r="AA82" i="15"/>
  <c r="AB82" i="15" s="1"/>
  <c r="AA83" i="15"/>
  <c r="AB83" i="15" s="1"/>
  <c r="AA84" i="15"/>
  <c r="AB84" i="15" s="1"/>
  <c r="AA85" i="15"/>
  <c r="AB85" i="15" s="1"/>
  <c r="AA86" i="15"/>
  <c r="AB86" i="15" s="1"/>
  <c r="AA87" i="15"/>
  <c r="AB87" i="15" s="1"/>
  <c r="AA88" i="15"/>
  <c r="AB88" i="15" s="1"/>
  <c r="AA89" i="15"/>
  <c r="AB89" i="15" s="1"/>
  <c r="AA90" i="15"/>
  <c r="AB90" i="15" s="1"/>
  <c r="AA91" i="15"/>
  <c r="AB91" i="15" s="1"/>
  <c r="AA92" i="15"/>
  <c r="AB92" i="15" s="1"/>
  <c r="AA93" i="15"/>
  <c r="AA94" i="15"/>
  <c r="AA95" i="15"/>
  <c r="AA96" i="15"/>
  <c r="AA80" i="15"/>
  <c r="AB80" i="15" s="1"/>
  <c r="AA79" i="15"/>
  <c r="AB79" i="15" s="1"/>
  <c r="AA78" i="15" l="1"/>
  <c r="AB78" i="15" s="1"/>
  <c r="AA77" i="15"/>
  <c r="AB77" i="15" s="1"/>
  <c r="AA68" i="15" l="1"/>
  <c r="AB68" i="15" s="1"/>
  <c r="AA73" i="15"/>
  <c r="AB73" i="15" s="1"/>
  <c r="AA75" i="15"/>
  <c r="AB75" i="15" s="1"/>
  <c r="AA67" i="15"/>
  <c r="AB67" i="15" s="1"/>
  <c r="AA97" i="15"/>
  <c r="AB97" i="15"/>
  <c r="AA72" i="15"/>
  <c r="AB72" i="15" s="1"/>
  <c r="AA71" i="15"/>
  <c r="AB71" i="15" s="1"/>
  <c r="AA76" i="15"/>
  <c r="AB76" i="15" s="1"/>
  <c r="AA70" i="15"/>
  <c r="AB70" i="15" s="1"/>
  <c r="AA74" i="15" l="1"/>
  <c r="AB74" i="15" s="1"/>
  <c r="AA69" i="15"/>
  <c r="AB69" i="15" s="1"/>
  <c r="AA55" i="15"/>
  <c r="AB55" i="15" s="1"/>
  <c r="AA65" i="15"/>
  <c r="AB65" i="15" s="1"/>
  <c r="AA64" i="15"/>
  <c r="AB64" i="15" s="1"/>
  <c r="AA63" i="15"/>
  <c r="AB63" i="15" s="1"/>
  <c r="AA66" i="15"/>
  <c r="AB66" i="15" s="1"/>
  <c r="AA61" i="15"/>
  <c r="AB61" i="15" s="1"/>
  <c r="AA60" i="15"/>
  <c r="AB60" i="15" s="1"/>
  <c r="AA62" i="15"/>
  <c r="AB62" i="15" s="1"/>
  <c r="AA58" i="15"/>
  <c r="AB58" i="15" s="1"/>
  <c r="AA59" i="15"/>
  <c r="AB59" i="15" s="1"/>
  <c r="AA56" i="15"/>
  <c r="AB56" i="15" s="1"/>
  <c r="AA53" i="15"/>
  <c r="AB53" i="15" s="1"/>
  <c r="AA49" i="15"/>
  <c r="AB49" i="15" s="1"/>
  <c r="AA46" i="15"/>
  <c r="AB46" i="15" s="1"/>
  <c r="AA43" i="15"/>
  <c r="AB43" i="15" s="1"/>
  <c r="AA39" i="15"/>
  <c r="AB39" i="15" s="1"/>
  <c r="AA38" i="15"/>
  <c r="AB38" i="15" s="1"/>
  <c r="AA36" i="15"/>
  <c r="AB36" i="15" s="1"/>
  <c r="AA35" i="15"/>
  <c r="AB35" i="15" s="1"/>
  <c r="AA34" i="15"/>
  <c r="AB34" i="15" s="1"/>
  <c r="AA22" i="15"/>
  <c r="AB22" i="15" s="1"/>
  <c r="Q154" i="32" l="1"/>
  <c r="M590" i="26" l="1"/>
  <c r="N569" i="26" l="1"/>
  <c r="L569" i="26"/>
  <c r="D380" i="26" l="1"/>
  <c r="D381" i="26" s="1"/>
  <c r="E375" i="26"/>
  <c r="F375" i="26" s="1"/>
  <c r="E380" i="26" l="1"/>
  <c r="E381" i="26" s="1"/>
  <c r="E321" i="26" l="1"/>
  <c r="F321" i="26" s="1"/>
  <c r="E320" i="26"/>
  <c r="F320" i="26" s="1"/>
  <c r="E319" i="26"/>
  <c r="F319" i="26" s="1"/>
  <c r="E318" i="26"/>
  <c r="F318" i="26" s="1"/>
  <c r="E313" i="26"/>
  <c r="F313" i="26" s="1"/>
  <c r="E314" i="26"/>
  <c r="F314" i="26" s="1"/>
  <c r="E315" i="26"/>
  <c r="F315" i="26" s="1"/>
  <c r="E316" i="26"/>
  <c r="F316" i="26" s="1"/>
  <c r="E317" i="26"/>
  <c r="F317" i="26" s="1"/>
  <c r="E312" i="26"/>
  <c r="F312" i="26" s="1"/>
  <c r="D326" i="26" l="1"/>
  <c r="D327" i="26" s="1"/>
  <c r="E326" i="26" l="1"/>
  <c r="E327" i="26" s="1"/>
  <c r="E295" i="26" l="1"/>
  <c r="E296" i="26"/>
  <c r="E294" i="26"/>
  <c r="D302" i="26"/>
  <c r="D303" i="26" s="1"/>
  <c r="E302" i="26" l="1"/>
  <c r="E303" i="26" s="1"/>
  <c r="C283" i="26"/>
  <c r="D283" i="26" s="1"/>
  <c r="D284" i="26" s="1"/>
  <c r="C284" i="26" l="1"/>
  <c r="C223" i="26" l="1"/>
  <c r="D223" i="26" s="1"/>
  <c r="D224" i="26" s="1"/>
  <c r="C224" i="26" l="1"/>
  <c r="C206" i="26" l="1"/>
  <c r="C207" i="26" s="1"/>
  <c r="D206" i="26" l="1"/>
  <c r="D207" i="26" s="1"/>
  <c r="AB57" i="15" l="1"/>
  <c r="AB51" i="15"/>
  <c r="AA8" i="15"/>
  <c r="AB8" i="15" s="1"/>
  <c r="AA9" i="15"/>
  <c r="AB9" i="15" s="1"/>
  <c r="AA10" i="15"/>
  <c r="AB10" i="15" s="1"/>
  <c r="AA11" i="15"/>
  <c r="AB11" i="15" s="1"/>
  <c r="AA12" i="15"/>
  <c r="AB12" i="15" s="1"/>
  <c r="AA13" i="15"/>
  <c r="AB13" i="15" s="1"/>
  <c r="AA14" i="15"/>
  <c r="AB14" i="15" s="1"/>
  <c r="AA15" i="15"/>
  <c r="AB15" i="15" s="1"/>
  <c r="AA16" i="15"/>
  <c r="AB16" i="15" s="1"/>
  <c r="AA17" i="15"/>
  <c r="AB17" i="15" s="1"/>
  <c r="AA18" i="15"/>
  <c r="AB18" i="15" s="1"/>
  <c r="AA19" i="15"/>
  <c r="AB19" i="15" s="1"/>
  <c r="AA20" i="15"/>
  <c r="AB20" i="15" s="1"/>
  <c r="AA31" i="15"/>
  <c r="AB31" i="15" s="1"/>
  <c r="AA32" i="15"/>
  <c r="AB32" i="15" s="1"/>
  <c r="AA23" i="15"/>
  <c r="AB23" i="15" s="1"/>
  <c r="AA24" i="15"/>
  <c r="AB24" i="15" s="1"/>
  <c r="AA25" i="15"/>
  <c r="AB25" i="15" s="1"/>
  <c r="AA26" i="15"/>
  <c r="AB26" i="15" s="1"/>
  <c r="AA27" i="15"/>
  <c r="AB27" i="15" s="1"/>
  <c r="AA28" i="15"/>
  <c r="AB28" i="15" s="1"/>
  <c r="AA29" i="15"/>
  <c r="AB29" i="15" s="1"/>
  <c r="AA30" i="15"/>
  <c r="AB30" i="15" s="1"/>
  <c r="AA41" i="15"/>
  <c r="AB41" i="15" s="1"/>
  <c r="AA42" i="15"/>
  <c r="AB42" i="15" s="1"/>
  <c r="AA21" i="15"/>
  <c r="AA33" i="15"/>
  <c r="AB33" i="15" s="1"/>
  <c r="AA40" i="15"/>
  <c r="AB40" i="15" s="1"/>
  <c r="AA37" i="15"/>
  <c r="AB37" i="15" s="1"/>
  <c r="AA44" i="15"/>
  <c r="AB44" i="15" s="1"/>
  <c r="AA45" i="15"/>
  <c r="AB45" i="15" s="1"/>
  <c r="AA48" i="15"/>
  <c r="AB48" i="15" s="1"/>
  <c r="AA47" i="15"/>
  <c r="AB47" i="15" s="1"/>
  <c r="AA50" i="15" l="1"/>
  <c r="L1" i="7" l="1"/>
  <c r="K35" i="7"/>
  <c r="K36" i="7"/>
  <c r="K37" i="7"/>
  <c r="L37" i="7" s="1"/>
  <c r="K38" i="7"/>
  <c r="K39" i="7"/>
  <c r="K40" i="7"/>
  <c r="J35" i="7"/>
  <c r="L35" i="7" s="1"/>
  <c r="J36" i="7"/>
  <c r="J37" i="7"/>
  <c r="J38" i="7"/>
  <c r="J39" i="7"/>
  <c r="J40" i="7"/>
  <c r="L40" i="7" l="1"/>
  <c r="L39" i="7"/>
  <c r="L38" i="7"/>
  <c r="L36" i="7"/>
  <c r="H29" i="7" l="1"/>
  <c r="H26" i="7"/>
  <c r="E14" i="15" l="1"/>
  <c r="H19" i="7"/>
  <c r="H23" i="7"/>
  <c r="E29" i="15"/>
  <c r="H16" i="7" l="1"/>
  <c r="H13" i="7" l="1"/>
  <c r="K32" i="7" l="1"/>
  <c r="K30" i="7"/>
  <c r="K33" i="7"/>
  <c r="J32" i="7"/>
  <c r="J30" i="7"/>
  <c r="J33" i="7"/>
  <c r="L33" i="7" l="1"/>
  <c r="L30" i="7"/>
  <c r="L32" i="7"/>
  <c r="H12" i="7" l="1"/>
  <c r="H11" i="7"/>
  <c r="H10" i="7"/>
  <c r="AA12" i="7" l="1"/>
  <c r="Z12" i="7" l="1"/>
  <c r="Y12" i="7"/>
  <c r="X12" i="7"/>
  <c r="T11" i="7"/>
  <c r="Y11" i="7"/>
  <c r="V11" i="7"/>
  <c r="U11" i="7"/>
  <c r="W11" i="7" l="1"/>
  <c r="J9" i="7"/>
  <c r="K34" i="20" l="1"/>
  <c r="E46" i="20"/>
  <c r="E24" i="20"/>
  <c r="B24" i="20"/>
  <c r="B43" i="20"/>
  <c r="B44" i="20" s="1"/>
  <c r="B46" i="20" s="1"/>
  <c r="B37" i="20"/>
  <c r="B38" i="20"/>
  <c r="B31" i="20"/>
  <c r="B32" i="20" s="1"/>
  <c r="B21" i="20"/>
  <c r="B22" i="20" s="1"/>
  <c r="B19" i="20"/>
  <c r="B17" i="20"/>
  <c r="T26" i="20" l="1"/>
  <c r="T21" i="20"/>
  <c r="F21" i="7" l="1"/>
  <c r="D6" i="7"/>
  <c r="C7" i="20"/>
  <c r="C3" i="20"/>
  <c r="C2" i="20"/>
  <c r="F6" i="7" l="1"/>
  <c r="G6" i="7"/>
  <c r="K420" i="17" l="1"/>
  <c r="C100" i="15" l="1"/>
  <c r="C101" i="15" s="1"/>
  <c r="C102" i="15" l="1"/>
  <c r="D1" i="17" l="1"/>
  <c r="K25" i="7" l="1"/>
  <c r="J25" i="7"/>
  <c r="K14" i="7"/>
  <c r="J14" i="7"/>
  <c r="K19" i="7"/>
  <c r="J19" i="7"/>
  <c r="K23" i="7"/>
  <c r="J23" i="7"/>
  <c r="L25" i="7" l="1"/>
  <c r="L23" i="7"/>
  <c r="L19" i="7"/>
  <c r="L14" i="7"/>
  <c r="E5" i="12"/>
  <c r="E4" i="12" s="1"/>
  <c r="E3" i="12" s="1"/>
  <c r="AY5" i="12"/>
  <c r="AY4" i="12" s="1"/>
  <c r="AY3" i="12" s="1"/>
  <c r="J28" i="12"/>
  <c r="J5" i="12" s="1"/>
  <c r="J4" i="12" s="1"/>
  <c r="J3" i="12" s="1"/>
  <c r="K28" i="12"/>
  <c r="K5" i="12" s="1"/>
  <c r="K4" i="12" s="1"/>
  <c r="K3" i="12" s="1"/>
  <c r="L28" i="12"/>
  <c r="L5" i="12" s="1"/>
  <c r="L4" i="12" s="1"/>
  <c r="L3" i="12" s="1"/>
  <c r="M28" i="12"/>
  <c r="M5" i="12" s="1"/>
  <c r="M4" i="12" s="1"/>
  <c r="M3" i="12" s="1"/>
  <c r="N28" i="12"/>
  <c r="N5" i="12" s="1"/>
  <c r="N4" i="12" s="1"/>
  <c r="N3" i="12" s="1"/>
  <c r="O28" i="12"/>
  <c r="O5" i="12" s="1"/>
  <c r="O4" i="12" s="1"/>
  <c r="O3" i="12" s="1"/>
  <c r="P28" i="12"/>
  <c r="P5" i="12" s="1"/>
  <c r="P4" i="12" s="1"/>
  <c r="P3" i="12" s="1"/>
  <c r="Q28" i="12"/>
  <c r="Q5" i="12" s="1"/>
  <c r="Q4" i="12" s="1"/>
  <c r="Q3" i="12" s="1"/>
  <c r="R28" i="12"/>
  <c r="R5" i="12" s="1"/>
  <c r="R4" i="12" s="1"/>
  <c r="R3" i="12" s="1"/>
  <c r="S28" i="12"/>
  <c r="S5" i="12" s="1"/>
  <c r="S4" i="12" s="1"/>
  <c r="S3" i="12" s="1"/>
  <c r="T28" i="12"/>
  <c r="T5" i="12" s="1"/>
  <c r="T4" i="12" s="1"/>
  <c r="T3" i="12" s="1"/>
  <c r="U28" i="12"/>
  <c r="U5" i="12" s="1"/>
  <c r="U4" i="12" s="1"/>
  <c r="U3" i="12" s="1"/>
  <c r="V28" i="12"/>
  <c r="V5" i="12" s="1"/>
  <c r="V4" i="12" s="1"/>
  <c r="V3" i="12" s="1"/>
  <c r="W28" i="12"/>
  <c r="W5" i="12" s="1"/>
  <c r="W4" i="12" s="1"/>
  <c r="W3" i="12" s="1"/>
  <c r="X28" i="12"/>
  <c r="X5" i="12" s="1"/>
  <c r="X4" i="12" s="1"/>
  <c r="X3" i="12" s="1"/>
  <c r="Y28" i="12"/>
  <c r="Y5" i="12" s="1"/>
  <c r="Y4" i="12" s="1"/>
  <c r="Y3" i="12" s="1"/>
  <c r="Z28" i="12"/>
  <c r="Z5" i="12" s="1"/>
  <c r="Z4" i="12" s="1"/>
  <c r="Z3" i="12" s="1"/>
  <c r="AA28" i="12"/>
  <c r="AA5" i="12" s="1"/>
  <c r="AA4" i="12" s="1"/>
  <c r="AA3" i="12" s="1"/>
  <c r="AB28" i="12"/>
  <c r="AB5" i="12" s="1"/>
  <c r="AB4" i="12" s="1"/>
  <c r="AB3" i="12" s="1"/>
  <c r="AC28" i="12"/>
  <c r="AC5" i="12" s="1"/>
  <c r="AC4" i="12" s="1"/>
  <c r="AC3" i="12" s="1"/>
  <c r="AD28" i="12"/>
  <c r="AD5" i="12" s="1"/>
  <c r="AD4" i="12" s="1"/>
  <c r="AD3" i="12" s="1"/>
  <c r="AE28" i="12"/>
  <c r="AE5" i="12" s="1"/>
  <c r="AE4" i="12" s="1"/>
  <c r="AE3" i="12" s="1"/>
  <c r="AF28" i="12"/>
  <c r="AF5" i="12" s="1"/>
  <c r="AF4" i="12" s="1"/>
  <c r="AF3" i="12" s="1"/>
  <c r="AG28" i="12"/>
  <c r="AG5" i="12" s="1"/>
  <c r="AG4" i="12" s="1"/>
  <c r="AG3" i="12" s="1"/>
  <c r="AH28" i="12"/>
  <c r="AH5" i="12" s="1"/>
  <c r="AH4" i="12" s="1"/>
  <c r="AH3" i="12" s="1"/>
  <c r="AI28" i="12"/>
  <c r="AI5" i="12" s="1"/>
  <c r="AI4" i="12" s="1"/>
  <c r="AI3" i="12" s="1"/>
  <c r="AJ28" i="12"/>
  <c r="AJ5" i="12" s="1"/>
  <c r="AJ4" i="12" s="1"/>
  <c r="AJ3" i="12" s="1"/>
  <c r="AK28" i="12"/>
  <c r="AK5" i="12" s="1"/>
  <c r="AK4" i="12" s="1"/>
  <c r="AK3" i="12" s="1"/>
  <c r="AL28" i="12"/>
  <c r="AL5" i="12" s="1"/>
  <c r="AL4" i="12" s="1"/>
  <c r="AL3" i="12" s="1"/>
  <c r="AM28" i="12"/>
  <c r="AM5" i="12" s="1"/>
  <c r="AM4" i="12" s="1"/>
  <c r="AM3" i="12" s="1"/>
  <c r="AN28" i="12"/>
  <c r="AN5" i="12" s="1"/>
  <c r="AN4" i="12" s="1"/>
  <c r="AN3" i="12" s="1"/>
  <c r="AO28" i="12"/>
  <c r="AO5" i="12" s="1"/>
  <c r="AO4" i="12" s="1"/>
  <c r="AO3" i="12" s="1"/>
  <c r="AP28" i="12"/>
  <c r="AP5" i="12" s="1"/>
  <c r="AP4" i="12" s="1"/>
  <c r="AP3" i="12" s="1"/>
  <c r="AQ28" i="12"/>
  <c r="AQ5" i="12" s="1"/>
  <c r="AQ4" i="12" s="1"/>
  <c r="AQ3" i="12" s="1"/>
  <c r="AR28" i="12"/>
  <c r="AR5" i="12" s="1"/>
  <c r="AR4" i="12" s="1"/>
  <c r="AR3" i="12" s="1"/>
  <c r="AS28" i="12"/>
  <c r="AS5" i="12" s="1"/>
  <c r="AS4" i="12" s="1"/>
  <c r="AS3" i="12" s="1"/>
  <c r="AT28" i="12"/>
  <c r="AT5" i="12" s="1"/>
  <c r="AT4" i="12" s="1"/>
  <c r="AT3" i="12" s="1"/>
  <c r="AU28" i="12"/>
  <c r="AU5" i="12" s="1"/>
  <c r="AU4" i="12" s="1"/>
  <c r="AU3" i="12" s="1"/>
  <c r="AV28" i="12"/>
  <c r="AV5" i="12" s="1"/>
  <c r="AV4" i="12" s="1"/>
  <c r="AV3" i="12" s="1"/>
  <c r="AW28" i="12"/>
  <c r="AW5" i="12" s="1"/>
  <c r="AW4" i="12" s="1"/>
  <c r="AW3" i="12" s="1"/>
  <c r="AX28" i="12"/>
  <c r="AX5" i="12" s="1"/>
  <c r="AX4" i="12" s="1"/>
  <c r="AX3" i="12" s="1"/>
  <c r="AY28" i="12"/>
  <c r="AZ28" i="12"/>
  <c r="AZ5" i="12" s="1"/>
  <c r="AZ4" i="12" s="1"/>
  <c r="AZ3" i="12" s="1"/>
  <c r="BA28" i="12"/>
  <c r="BA5" i="12" s="1"/>
  <c r="BA4" i="12" s="1"/>
  <c r="BA3" i="12" s="1"/>
  <c r="BB28" i="12"/>
  <c r="BB5" i="12" s="1"/>
  <c r="BB4" i="12" s="1"/>
  <c r="BB3" i="12" s="1"/>
  <c r="BC28" i="12"/>
  <c r="BC5" i="12" s="1"/>
  <c r="BC4" i="12" s="1"/>
  <c r="BC3" i="12" s="1"/>
  <c r="BD28" i="12"/>
  <c r="BD5" i="12" s="1"/>
  <c r="BD4" i="12" s="1"/>
  <c r="BD3" i="12" s="1"/>
  <c r="BE28" i="12"/>
  <c r="BE5" i="12" s="1"/>
  <c r="BE4" i="12" s="1"/>
  <c r="BE3" i="12" s="1"/>
  <c r="BF28" i="12"/>
  <c r="BF5" i="12" s="1"/>
  <c r="BF4" i="12" s="1"/>
  <c r="BF3" i="12" s="1"/>
  <c r="BG28" i="12"/>
  <c r="BG5" i="12" s="1"/>
  <c r="BG4" i="12" s="1"/>
  <c r="BG3" i="12" s="1"/>
  <c r="BH28" i="12"/>
  <c r="BH5" i="12" s="1"/>
  <c r="BH4" i="12" s="1"/>
  <c r="BH3" i="12" s="1"/>
  <c r="BI28" i="12"/>
  <c r="BI5" i="12" s="1"/>
  <c r="BI4" i="12" s="1"/>
  <c r="BI3" i="12" s="1"/>
  <c r="BJ28" i="12"/>
  <c r="BJ5" i="12" s="1"/>
  <c r="BJ4" i="12" s="1"/>
  <c r="BJ3" i="12" s="1"/>
  <c r="BK28" i="12"/>
  <c r="BK5" i="12" s="1"/>
  <c r="BK4" i="12" s="1"/>
  <c r="BK3" i="12" s="1"/>
  <c r="BL28" i="12"/>
  <c r="BL5" i="12" s="1"/>
  <c r="BL4" i="12" s="1"/>
  <c r="BL3" i="12" s="1"/>
  <c r="C28" i="12"/>
  <c r="C5" i="12" s="1"/>
  <c r="C4" i="12" s="1"/>
  <c r="C3" i="12" s="1"/>
  <c r="D28" i="12"/>
  <c r="D5" i="12" s="1"/>
  <c r="D4" i="12" s="1"/>
  <c r="D3" i="12" s="1"/>
  <c r="E28" i="12"/>
  <c r="F28" i="12"/>
  <c r="F5" i="12" s="1"/>
  <c r="F4" i="12" s="1"/>
  <c r="F3" i="12" s="1"/>
  <c r="G28" i="12"/>
  <c r="G5" i="12" s="1"/>
  <c r="G4" i="12" s="1"/>
  <c r="G3" i="12" s="1"/>
  <c r="H28" i="12"/>
  <c r="H5" i="12" s="1"/>
  <c r="H4" i="12" s="1"/>
  <c r="H3" i="12" s="1"/>
  <c r="I28" i="12"/>
  <c r="I5" i="12" s="1"/>
  <c r="I4" i="12" s="1"/>
  <c r="I3" i="12" s="1"/>
  <c r="K22" i="7"/>
  <c r="J22" i="7"/>
  <c r="L22" i="7" s="1"/>
  <c r="K34" i="7"/>
  <c r="J34" i="7"/>
  <c r="K26" i="7"/>
  <c r="J26" i="7"/>
  <c r="K21" i="7"/>
  <c r="J21" i="7"/>
  <c r="K15" i="7"/>
  <c r="J15" i="7"/>
  <c r="K13" i="7"/>
  <c r="J13" i="7"/>
  <c r="K12" i="7"/>
  <c r="J12" i="7"/>
  <c r="J41" i="7"/>
  <c r="K41" i="7"/>
  <c r="J28" i="7"/>
  <c r="K28" i="7"/>
  <c r="E1" i="7"/>
  <c r="L41" i="7" l="1"/>
  <c r="L13" i="7"/>
  <c r="L21" i="7"/>
  <c r="L15" i="7"/>
  <c r="L34" i="7"/>
  <c r="L12" i="7"/>
  <c r="L26" i="7"/>
  <c r="L28" i="7"/>
  <c r="B19" i="16" l="1"/>
  <c r="B30" i="12" l="1"/>
  <c r="AQ6" i="7" l="1"/>
  <c r="J31" i="7" l="1"/>
  <c r="K31" i="7"/>
  <c r="L31" i="7" l="1"/>
  <c r="J16" i="7"/>
  <c r="K16" i="7"/>
  <c r="L16" i="7" l="1"/>
  <c r="E2" i="15"/>
  <c r="E4" i="15" l="1"/>
  <c r="U6" i="7"/>
  <c r="T6" i="7"/>
  <c r="K20" i="7"/>
  <c r="J20" i="7"/>
  <c r="K29" i="7"/>
  <c r="J29" i="7"/>
  <c r="K42" i="7"/>
  <c r="J42" i="7"/>
  <c r="L20" i="7" l="1"/>
  <c r="L29" i="7"/>
  <c r="L42" i="7"/>
  <c r="K24" i="7"/>
  <c r="K27" i="7"/>
  <c r="J24" i="7"/>
  <c r="J27" i="7"/>
  <c r="L27" i="7" s="1"/>
  <c r="L24" i="7" l="1"/>
  <c r="E2" i="7"/>
  <c r="C1" i="12" s="1"/>
  <c r="T2" i="12" l="1"/>
  <c r="AB2" i="12"/>
  <c r="AJ2" i="12"/>
  <c r="AR2" i="12"/>
  <c r="AZ2" i="12"/>
  <c r="BH2" i="12"/>
  <c r="AC2" i="12"/>
  <c r="AK2" i="12"/>
  <c r="AS2" i="12"/>
  <c r="BA2" i="12"/>
  <c r="BK2" i="12"/>
  <c r="AF2" i="12"/>
  <c r="AV2" i="12"/>
  <c r="BL2" i="12"/>
  <c r="AG2" i="12"/>
  <c r="AW2" i="12"/>
  <c r="Z2" i="12"/>
  <c r="BF2" i="12"/>
  <c r="AQ2" i="12"/>
  <c r="AY2" i="12"/>
  <c r="U2" i="12"/>
  <c r="BI2" i="12"/>
  <c r="AO2" i="12"/>
  <c r="AP2" i="12"/>
  <c r="AA2" i="12"/>
  <c r="V2" i="12"/>
  <c r="AD2" i="12"/>
  <c r="AL2" i="12"/>
  <c r="AT2" i="12"/>
  <c r="BB2" i="12"/>
  <c r="BJ2" i="12"/>
  <c r="W2" i="12"/>
  <c r="AE2" i="12"/>
  <c r="AM2" i="12"/>
  <c r="AU2" i="12"/>
  <c r="BC2" i="12"/>
  <c r="X2" i="12"/>
  <c r="AN2" i="12"/>
  <c r="BD2" i="12"/>
  <c r="Y2" i="12"/>
  <c r="BE2" i="12"/>
  <c r="AH2" i="12"/>
  <c r="AX2" i="12"/>
  <c r="AI2" i="12"/>
  <c r="BG2" i="12"/>
  <c r="H2" i="12"/>
  <c r="E2" i="12"/>
  <c r="I2" i="12"/>
  <c r="J2" i="12"/>
  <c r="G2" i="12"/>
  <c r="K2" i="12"/>
  <c r="L2" i="12"/>
  <c r="F2" i="12"/>
  <c r="N2" i="12"/>
  <c r="O2" i="12"/>
  <c r="R2" i="12"/>
  <c r="S2" i="12"/>
  <c r="P2" i="12"/>
  <c r="Q2" i="12"/>
  <c r="M2" i="12"/>
  <c r="K18" i="7"/>
  <c r="J18" i="7"/>
  <c r="L18" i="7" l="1"/>
  <c r="K11" i="7"/>
  <c r="J11" i="7"/>
  <c r="K17" i="7"/>
  <c r="J17" i="7"/>
  <c r="K10" i="7"/>
  <c r="J10" i="7"/>
  <c r="L10" i="7" s="1"/>
  <c r="K9" i="7"/>
  <c r="L9" i="7" s="1"/>
  <c r="BV6" i="7"/>
  <c r="BU6" i="7"/>
  <c r="BT6" i="7"/>
  <c r="BS6" i="7"/>
  <c r="BR6" i="7"/>
  <c r="BQ6" i="7"/>
  <c r="BP6" i="7"/>
  <c r="BO6" i="7"/>
  <c r="BN6" i="7"/>
  <c r="BM6" i="7"/>
  <c r="BL6" i="7"/>
  <c r="BK6" i="7"/>
  <c r="BJ6" i="7"/>
  <c r="BI6" i="7"/>
  <c r="BH6" i="7"/>
  <c r="BG6" i="7"/>
  <c r="BF6" i="7"/>
  <c r="BE6" i="7"/>
  <c r="BD6" i="7"/>
  <c r="BC6" i="7"/>
  <c r="BB6" i="7"/>
  <c r="BA6" i="7"/>
  <c r="AZ6" i="7"/>
  <c r="AY6" i="7"/>
  <c r="AX6" i="7"/>
  <c r="AW6" i="7"/>
  <c r="AV6" i="7"/>
  <c r="AU6" i="7"/>
  <c r="AT6" i="7"/>
  <c r="AS6" i="7"/>
  <c r="AR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S6" i="7"/>
  <c r="R6" i="7"/>
  <c r="Q6" i="7"/>
  <c r="P6" i="7"/>
  <c r="O6" i="7"/>
  <c r="N6" i="7"/>
  <c r="M6" i="7"/>
  <c r="L17" i="7" l="1"/>
  <c r="L11" i="7"/>
  <c r="AB5" i="7"/>
  <c r="AB4" i="7" s="1"/>
  <c r="AB2" i="7" s="1"/>
  <c r="O5" i="7"/>
  <c r="O4" i="7" s="1"/>
  <c r="O2" i="7" s="1"/>
  <c r="AZ5" i="7"/>
  <c r="AZ4" i="7" s="1"/>
  <c r="AZ2" i="7" s="1"/>
  <c r="AR5" i="7"/>
  <c r="AR4" i="7" s="1"/>
  <c r="AR2" i="7" s="1"/>
  <c r="BP5" i="7"/>
  <c r="BP4" i="7" s="1"/>
  <c r="BP2" i="7" s="1"/>
  <c r="BS5" i="7"/>
  <c r="BS4" i="7" s="1"/>
  <c r="BS2" i="7" s="1"/>
  <c r="Y5" i="7"/>
  <c r="Y4" i="7" s="1"/>
  <c r="Y2" i="7" s="1"/>
  <c r="BA5" i="7"/>
  <c r="BA4" i="7" s="1"/>
  <c r="BA2" i="7" s="1"/>
  <c r="W5" i="7"/>
  <c r="W4" i="7" s="1"/>
  <c r="W2" i="7" s="1"/>
  <c r="M5" i="7"/>
  <c r="M4" i="7" s="1"/>
  <c r="AH5" i="7"/>
  <c r="AH4" i="7" s="1"/>
  <c r="AH2" i="7" s="1"/>
  <c r="BB5" i="7"/>
  <c r="BB4" i="7" s="1"/>
  <c r="BB2" i="7" s="1"/>
  <c r="P5" i="7"/>
  <c r="P4" i="7" s="1"/>
  <c r="P2" i="7" s="1"/>
  <c r="AE5" i="7"/>
  <c r="AE4" i="7" s="1"/>
  <c r="AE2" i="7" s="1"/>
  <c r="AT5" i="7"/>
  <c r="AT4" i="7" s="1"/>
  <c r="AT2" i="7" s="1"/>
  <c r="AK5" i="7"/>
  <c r="AK4" i="7" s="1"/>
  <c r="AK2" i="7" s="1"/>
  <c r="AJ5" i="7"/>
  <c r="AJ4" i="7" s="1"/>
  <c r="AJ2" i="7" s="1"/>
  <c r="Q5" i="7"/>
  <c r="Q4" i="7" s="1"/>
  <c r="Q2" i="7" s="1"/>
  <c r="AF5" i="7"/>
  <c r="AF4" i="7" s="1"/>
  <c r="AF2" i="7" s="1"/>
  <c r="AU5" i="7"/>
  <c r="AU4" i="7" s="1"/>
  <c r="AU2" i="7" s="1"/>
  <c r="R5" i="7"/>
  <c r="R4" i="7" s="1"/>
  <c r="R2" i="7" s="1"/>
  <c r="N5" i="7"/>
  <c r="N4" i="7" s="1"/>
  <c r="N2" i="7" s="1"/>
  <c r="AD5" i="7"/>
  <c r="AD4" i="7" s="1"/>
  <c r="AD2" i="7" s="1"/>
  <c r="T5" i="7"/>
  <c r="T4" i="7" s="1"/>
  <c r="T2" i="7" s="1"/>
  <c r="AG5" i="7"/>
  <c r="AG4" i="7" s="1"/>
  <c r="AG2" i="7" s="1"/>
  <c r="AW5" i="7"/>
  <c r="AW4" i="7" s="1"/>
  <c r="AW2" i="7" s="1"/>
  <c r="U5" i="7"/>
  <c r="U4" i="7" s="1"/>
  <c r="U2" i="7" s="1"/>
  <c r="AP5" i="7"/>
  <c r="AP4" i="7" s="1"/>
  <c r="AP2" i="7" s="1"/>
  <c r="AO5" i="7"/>
  <c r="AO4" i="7" s="1"/>
  <c r="AO2" i="7" s="1"/>
  <c r="V5" i="7"/>
  <c r="V4" i="7" s="1"/>
  <c r="V2" i="7" s="1"/>
  <c r="AS5" i="7"/>
  <c r="AS4" i="7" s="1"/>
  <c r="AS2" i="7" s="1"/>
  <c r="AL5" i="7"/>
  <c r="AL4" i="7" s="1"/>
  <c r="AL2" i="7" s="1"/>
  <c r="BC5" i="7"/>
  <c r="BC4" i="7" s="1"/>
  <c r="BC2" i="7" s="1"/>
  <c r="Z5" i="7"/>
  <c r="Z4" i="7" s="1"/>
  <c r="Z2" i="7" s="1"/>
  <c r="AV5" i="7"/>
  <c r="AV4" i="7" s="1"/>
  <c r="AV2" i="7" s="1"/>
  <c r="X5" i="7"/>
  <c r="X4" i="7" s="1"/>
  <c r="X2" i="7" s="1"/>
  <c r="AM5" i="7"/>
  <c r="AM4" i="7" s="1"/>
  <c r="AM2" i="7" s="1"/>
  <c r="AC5" i="7"/>
  <c r="AC4" i="7" s="1"/>
  <c r="AC2" i="7" s="1"/>
  <c r="AX5" i="7"/>
  <c r="AX4" i="7" s="1"/>
  <c r="AX2" i="7" s="1"/>
  <c r="BU5" i="7"/>
  <c r="BU4" i="7" s="1"/>
  <c r="BU2" i="7" s="1"/>
  <c r="BQ5" i="7"/>
  <c r="BQ4" i="7" s="1"/>
  <c r="BQ2" i="7" s="1"/>
  <c r="BR5" i="7"/>
  <c r="BR4" i="7" s="1"/>
  <c r="BR2" i="7" s="1"/>
  <c r="BT5" i="7"/>
  <c r="BT4" i="7" s="1"/>
  <c r="BT2" i="7" s="1"/>
  <c r="BN5" i="7"/>
  <c r="BN4" i="7" s="1"/>
  <c r="BN2" i="7" s="1"/>
  <c r="BV5" i="7"/>
  <c r="BV4" i="7" s="1"/>
  <c r="BV2" i="7" s="1"/>
  <c r="BM5" i="7"/>
  <c r="BM4" i="7" s="1"/>
  <c r="BM2" i="7" s="1"/>
  <c r="BD5" i="7"/>
  <c r="BD4" i="7" s="1"/>
  <c r="BD2" i="7" s="1"/>
  <c r="BE5" i="7"/>
  <c r="BE4" i="7" s="1"/>
  <c r="BE2" i="7" s="1"/>
  <c r="BH5" i="7"/>
  <c r="BH4" i="7" s="1"/>
  <c r="BH2" i="7" s="1"/>
  <c r="BL5" i="7"/>
  <c r="BL4" i="7" s="1"/>
  <c r="BL2" i="7" s="1"/>
  <c r="BI5" i="7"/>
  <c r="BI4" i="7" s="1"/>
  <c r="BI2" i="7" s="1"/>
  <c r="BK5" i="7"/>
  <c r="BK4" i="7" s="1"/>
  <c r="BK2" i="7" s="1"/>
  <c r="BF5" i="7"/>
  <c r="BF4" i="7" s="1"/>
  <c r="BF2" i="7" s="1"/>
  <c r="BJ5" i="7"/>
  <c r="BJ4" i="7" s="1"/>
  <c r="BJ2" i="7" s="1"/>
  <c r="AN5" i="7"/>
  <c r="AN4" i="7" s="1"/>
  <c r="AN2" i="7" s="1"/>
  <c r="M3" i="7" l="1"/>
  <c r="N3" i="7" s="1"/>
  <c r="O3" i="7" s="1"/>
  <c r="P3" i="7" s="1"/>
  <c r="Q3" i="7" s="1"/>
  <c r="R3" i="7" s="1"/>
  <c r="M2" i="7"/>
  <c r="AQ5" i="7"/>
  <c r="AQ4" i="7" s="1"/>
  <c r="AQ2" i="7" s="1"/>
  <c r="S5" i="7"/>
  <c r="S4" i="7" s="1"/>
  <c r="S2" i="7" s="1"/>
  <c r="AI5" i="7"/>
  <c r="AI4" i="7" s="1"/>
  <c r="AI2" i="7" s="1"/>
  <c r="AY5" i="7"/>
  <c r="AY4" i="7" s="1"/>
  <c r="AY2" i="7" s="1"/>
  <c r="AA5" i="7"/>
  <c r="AA4" i="7" s="1"/>
  <c r="AA2" i="7" s="1"/>
  <c r="BO5" i="7"/>
  <c r="BO4" i="7" s="1"/>
  <c r="BO2" i="7" s="1"/>
  <c r="BG5" i="7"/>
  <c r="BG4" i="7" s="1"/>
  <c r="BG2" i="7" s="1"/>
  <c r="S3" i="7" l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AF3" i="7" s="1"/>
  <c r="AG3" i="7" s="1"/>
  <c r="AH3" i="7" s="1"/>
  <c r="AI3" i="7" s="1"/>
  <c r="AJ3" i="7" s="1"/>
  <c r="AK3" i="7" s="1"/>
  <c r="AL3" i="7" s="1"/>
  <c r="AM3" i="7" s="1"/>
  <c r="AN3" i="7" s="1"/>
  <c r="AO3" i="7" s="1"/>
  <c r="AP3" i="7" s="1"/>
  <c r="AQ3" i="7" s="1"/>
  <c r="AR3" i="7" s="1"/>
  <c r="AS3" i="7" s="1"/>
  <c r="AT3" i="7" s="1"/>
  <c r="AU3" i="7" s="1"/>
  <c r="AV3" i="7" s="1"/>
  <c r="AW3" i="7" s="1"/>
  <c r="AX3" i="7" s="1"/>
  <c r="AY3" i="7" s="1"/>
  <c r="AZ3" i="7" s="1"/>
  <c r="BA3" i="7" s="1"/>
  <c r="BB3" i="7" s="1"/>
  <c r="BC3" i="7" s="1"/>
  <c r="BD3" i="7" s="1"/>
  <c r="BE3" i="7" s="1"/>
  <c r="BF3" i="7" s="1"/>
  <c r="BG3" i="7" s="1"/>
  <c r="BH3" i="7" s="1"/>
  <c r="BI3" i="7" s="1"/>
  <c r="BJ3" i="7" s="1"/>
  <c r="BK3" i="7" s="1"/>
  <c r="BL3" i="7" s="1"/>
  <c r="BM3" i="7" s="1"/>
  <c r="BN3" i="7" s="1"/>
  <c r="BO3" i="7" s="1"/>
  <c r="BP3" i="7" s="1"/>
  <c r="BQ3" i="7" s="1"/>
  <c r="BR3" i="7" s="1"/>
  <c r="BS3" i="7" s="1"/>
  <c r="BT3" i="7" s="1"/>
  <c r="BU3" i="7" s="1"/>
  <c r="BV3" i="7" s="1"/>
  <c r="H27" i="7"/>
  <c r="Y6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tc={7D2B9900-C5DD-4D1D-B55D-2DA274974F94}</author>
    <author>tc={527D6C1E-B7D8-4B91-8915-2C97B3234FE1}</author>
  </authors>
  <commentList>
    <comment ref="N19" authorId="0" shapeId="0" xr:uid="{7D2B9900-C5DD-4D1D-B55D-2DA274974F94}">
      <text>
        <t>[Kommentartråd]
Din versjon av Excel lar deg lese denne kommentartråden. Eventuelle endringer i den vil imidlertid bli fjernet hvis filen åpnes i en nyere versjon av Excel. Finn ut mer: https://go.microsoft.com/fwlink/?linkid=870924
Kommentar:
    Areal er belagt areal- ikke hele takarealet</t>
      </text>
    </comment>
    <comment ref="N34" authorId="1" shapeId="0" xr:uid="{527D6C1E-B7D8-4B91-8915-2C97B3234FE1}">
      <text>
        <t>[Kommentartråd]
Din versjon av Excel lar deg lese denne kommentartråden. Eventuelle endringer i den vil imidlertid bli fjernet hvis filen åpnes i en nyere versjon av Excel. Finn ut mer: https://go.microsoft.com/fwlink/?linkid=870924
Kommentar:
    Areal er belagt areal- ikke hele takarealet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tc={837560C0-6731-41AB-B4BB-CE12CCBCFE4B}</author>
    <author>tc={ED8BB121-90B5-4604-9298-6B43D0A62B41}</author>
    <author>tc={4EB9B3DC-E48A-4009-B59E-524C8DD434F0}</author>
    <author>tc={27474B10-D106-4A14-A988-5ADD4F8E5576}</author>
    <author>tc={3E05F2A1-8B21-428B-AC13-57C8688AC800}</author>
    <author>tc={5E291A4C-15A2-49EA-8ADA-47FECF6FC47B}</author>
    <author>tc={216ADE70-D9FB-4FDA-9F4A-4DCCC08129AA}</author>
    <author>tc={3F74C40F-F828-4713-A328-37005C69DC35}</author>
    <author>tc={C8341C4B-7116-4A60-B963-2B01BED4C08D}</author>
    <author>tc={66D87DFB-227A-4F5C-8040-42D0845CD7A3}</author>
    <author>tc={3804F16A-32B7-4B57-970E-89F712D1A57A}</author>
    <author>tc={C238859B-6963-4752-91B7-7F4F47CE827A}</author>
    <author>tc={95541E0D-B81B-48B4-B52B-97FCCD7C85EF}</author>
    <author>tc={1A610448-2C94-4DCD-A1D0-E26113B754D4}</author>
    <author>tc={6EE5B0D1-E31B-4E11-860E-3552F5428C26}</author>
  </authors>
  <commentList>
    <comment ref="G10" authorId="0" shapeId="0" xr:uid="{837560C0-6731-41AB-B4BB-CE12CCBCFE4B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Intern bekreftelse
</t>
      </text>
    </comment>
    <comment ref="P10" authorId="1" shapeId="0" xr:uid="{ED8BB121-90B5-4604-9298-6B43D0A62B41}">
      <text>
        <t>[Kommentartråd]
Din versjon av Excel lar deg lese denne kommentartråden. Eventuelle endringer i den vil imidlertid bli fjernet hvis filen åpnes i en nyere versjon av Excel. Finn ut mer: https://go.microsoft.com/fwlink/?linkid=870924
Kommentar:
    15pk Proff 34- 25x 570x 16000</t>
      </text>
    </comment>
    <comment ref="R10" authorId="2" shapeId="0" xr:uid="{4EB9B3DC-E48A-4009-B59E-524C8DD434F0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Tak 1-3
</t>
      </text>
    </comment>
    <comment ref="P11" authorId="3" shapeId="0" xr:uid="{27474B10-D106-4A14-A988-5ADD4F8E5576}">
      <text>
        <t>[Kommentartråd]
Din versjon av Excel lar deg lese denne kommentartråden. Eventuelle endringer i den vil imidlertid bli fjernet hvis filen åpnes i en nyere versjon av Excel. Finn ut mer: https://go.microsoft.com/fwlink/?linkid=870924
Kommentar:
    6pk Proff 34- 25x 570x 16000</t>
      </text>
    </comment>
    <comment ref="I12" authorId="4" shapeId="0" xr:uid="{3E05F2A1-8B21-428B-AC13-57C8688AC800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Mattias Stål 20.10.2022
</t>
      </text>
    </comment>
    <comment ref="T12" authorId="5" shapeId="0" xr:uid="{5E291A4C-15A2-49EA-8ADA-47FECF6FC47B}">
      <text>
        <t>[Kommentartråd]
Din versjon av Excel lar deg lese denne kommentartråden. Eventuelle endringer i den vil imidlertid bli fjernet hvis filen åpnes i en nyere versjon av Excel. Finn ut mer: https://go.microsoft.com/fwlink/?linkid=870924
Kommentar:
    Isola</t>
      </text>
    </comment>
    <comment ref="I13" authorId="6" shapeId="0" xr:uid="{216ADE70-D9FB-4FDA-9F4A-4DCCC08129AA}">
      <text>
        <t>[Kommentartråd]
Din versjon av Excel lar deg lese denne kommentartråden. Eventuelle endringer i den vil imidlertid bli fjernet hvis filen åpnes i en nyere versjon av Excel. Finn ut mer: https://go.microsoft.com/fwlink/?linkid=870924
Kommentar:
    Henrik på telefon med Håkon</t>
      </text>
    </comment>
    <comment ref="K16" authorId="7" shapeId="0" xr:uid="{3F74C40F-F828-4713-A328-37005C69DC35}">
      <text>
        <t>[Kommentartråd]
Din versjon av Excel lar deg lese denne kommentartråden. Eventuelle endringer i den vil imidlertid bli fjernet hvis filen åpnes i en nyere versjon av Excel. Finn ut mer: https://go.microsoft.com/fwlink/?linkid=870924
Kommentar:
    Ja, må bestilles MU</t>
      </text>
    </comment>
    <comment ref="N17" authorId="8" shapeId="0" xr:uid="{C8341C4B-7116-4A60-B963-2B01BED4C08D}">
      <text>
        <t>[Kommentartråd]
Din versjon av Excel lar deg lese denne kommentartråden. Eventuelle endringer i den vil imidlertid bli fjernet hvis filen åpnes i en nyere versjon av Excel. Finn ut mer: https://go.microsoft.com/fwlink/?linkid=870924
Kommentar:
    IA</t>
      </text>
    </comment>
    <comment ref="I18" authorId="9" shapeId="0" xr:uid="{66D87DFB-227A-4F5C-8040-42D0845CD7A3}">
      <text>
        <t>[Kommentartråd]
Din versjon av Excel lar deg lese denne kommentartråden. Eventuelle endringer i den vil imidlertid bli fjernet hvis filen åpnes i en nyere versjon av Excel. Finn ut mer: https://go.microsoft.com/fwlink/?linkid=870924
Kommentar:
    MU over messaninområde</t>
      </text>
    </comment>
    <comment ref="Q20" authorId="10" shapeId="0" xr:uid="{3804F16A-32B7-4B57-970E-89F712D1A57A}">
      <text>
        <t>[Kommentartråd]
Din versjon av Excel lar deg lese denne kommentartråden. Eventuelle endringer i den vil imidlertid bli fjernet hvis filen åpnes i en nyere versjon av Excel. Finn ut mer: https://go.microsoft.com/fwlink/?linkid=870924
Kommentar:
    Wurth nærmeste butikk, baåde skade og dekkhotel</t>
      </text>
    </comment>
    <comment ref="T20" authorId="11" shapeId="0" xr:uid="{C238859B-6963-4752-91B7-7F4F47CE827A}">
      <text>
        <t>[Kommentartråd]
Din versjon av Excel lar deg lese denne kommentartråden. Eventuelle endringer i den vil imidlertid bli fjernet hvis filen åpnes i en nyere versjon av Excel. Finn ut mer: https://go.microsoft.com/fwlink/?linkid=870924
Kommentar:
    Leveres 29.06</t>
      </text>
    </comment>
    <comment ref="V20" authorId="12" shapeId="0" xr:uid="{95541E0D-B81B-48B4-B52B-97FCCD7C85EF}">
      <text>
        <t>[Kommentartråd]
Din versjon av Excel lar deg lese denne kommentartråden. Eventuelle endringer i den vil imidlertid bli fjernet hvis filen åpnes i en nyere versjon av Excel. Finn ut mer: https://go.microsoft.com/fwlink/?linkid=870924
Kommentar:
    Venter på svar</t>
      </text>
    </comment>
    <comment ref="O23" authorId="13" shapeId="0" xr:uid="{1A610448-2C94-4DCD-A1D0-E26113B754D4}">
      <text>
        <t>[Kommentartråd]
Din versjon av Excel lar deg lese denne kommentartråden. Eventuelle endringer i den vil imidlertid bli fjernet hvis filen åpnes i en nyere versjon av Excel. Finn ut mer: https://go.microsoft.com/fwlink/?linkid=870924
Kommentar:
    Enighet om Kingspan TR26 grunnet bæresystem i tre.</t>
      </text>
    </comment>
    <comment ref="I31" authorId="14" shapeId="0" xr:uid="{6EE5B0D1-E31B-4E11-860E-3552F5428C26}">
      <text>
        <t>[Kommentartråd]
Din versjon av Excel lar deg lese denne kommentartråden. Eventuelle endringer i den vil imidlertid bli fjernet hvis filen åpnes i en nyere versjon av Excel. Finn ut mer: https://go.microsoft.com/fwlink/?linkid=870924
Kommentar:
    Snakket med Christer. TG/ preakseptert er godt nok for dem. ☺️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tc={5006CCC5-787D-4EA4-9B9B-545E7B9FD18C}</author>
    <author>tc={549254AF-7AF0-492C-BDB0-50FF5FB21471}</author>
    <author>Henrik S Karlsen</author>
  </authors>
  <commentList>
    <comment ref="BB14" authorId="0" shapeId="0" xr:uid="{5006CCC5-787D-4EA4-9B9B-545E7B9FD18C}">
      <text>
        <t>[Kommentartråd]
Din versjon av Excel lar deg lese denne kommentartråden. Eventuelle endringer i den vil imidlertid bli fjernet hvis filen åpnes i en nyere versjon av Excel. Finn ut mer: https://go.microsoft.com/fwlink/?linkid=870924
Kommentar:
    Del 2</t>
      </text>
    </comment>
    <comment ref="BC14" authorId="1" shapeId="0" xr:uid="{549254AF-7AF0-492C-BDB0-50FF5FB21471}">
      <text>
        <t>[Kommentartråd]
Din versjon av Excel lar deg lese denne kommentartråden. Eventuelle endringer i den vil imidlertid bli fjernet hvis filen åpnes i en nyere versjon av Excel. Finn ut mer: https://go.microsoft.com/fwlink/?linkid=870924
Kommentar:
    Del 2</t>
      </text>
    </comment>
    <comment ref="BD19" authorId="2" shapeId="0" xr:uid="{034DD6E7-AE8D-496E-B275-469714C7B306}">
      <text>
        <r>
          <rPr>
            <b/>
            <sz val="9"/>
            <color indexed="81"/>
            <rFont val="Tahoma"/>
            <family val="2"/>
          </rPr>
          <t>Henrik S Karlsen:</t>
        </r>
        <r>
          <rPr>
            <sz val="9"/>
            <color indexed="81"/>
            <rFont val="Tahoma"/>
            <family val="2"/>
          </rPr>
          <t xml:space="preserve">
Del 2 ca 43</t>
        </r>
      </text>
    </comment>
  </commentList>
</comments>
</file>

<file path=xl/sharedStrings.xml><?xml version="1.0" encoding="utf-8"?>
<sst xmlns="http://schemas.openxmlformats.org/spreadsheetml/2006/main" count="4269" uniqueCount="1486">
  <si>
    <t>Utsendte tilbud</t>
  </si>
  <si>
    <t>SALG</t>
  </si>
  <si>
    <t>Tapt</t>
  </si>
  <si>
    <t>Ordre</t>
  </si>
  <si>
    <t>Oms</t>
  </si>
  <si>
    <t>Tilbud</t>
  </si>
  <si>
    <t>m²</t>
  </si>
  <si>
    <t>Ferdig</t>
  </si>
  <si>
    <t>kr</t>
  </si>
  <si>
    <t>Antall tilbud avgjort</t>
  </si>
  <si>
    <t>antall</t>
  </si>
  <si>
    <t>Kalk DB</t>
  </si>
  <si>
    <t>Antall</t>
  </si>
  <si>
    <t>Verdi</t>
  </si>
  <si>
    <t>Sendt</t>
  </si>
  <si>
    <t>Ansvarlig</t>
  </si>
  <si>
    <t>Kunde / Byggherre</t>
  </si>
  <si>
    <t>Prosjekt</t>
  </si>
  <si>
    <t>Frist</t>
  </si>
  <si>
    <t>Beliggenhet</t>
  </si>
  <si>
    <t>Timer</t>
  </si>
  <si>
    <t>Forventet oppstart</t>
  </si>
  <si>
    <t>Sedum</t>
  </si>
  <si>
    <t>Tilbudt sum Sedum</t>
  </si>
  <si>
    <t>Tilbud til oss Sedum</t>
  </si>
  <si>
    <t>DB Sedum</t>
  </si>
  <si>
    <t>pris m²</t>
  </si>
  <si>
    <t>DG Sedum</t>
  </si>
  <si>
    <t>Status</t>
  </si>
  <si>
    <t>Tilbudspris</t>
  </si>
  <si>
    <t>DG</t>
  </si>
  <si>
    <t>DB</t>
  </si>
  <si>
    <t>Pris m²</t>
  </si>
  <si>
    <t>Vedståelses frist</t>
  </si>
  <si>
    <t>Sist oppdatert</t>
  </si>
  <si>
    <t>Beskrivelse / siste nytt</t>
  </si>
  <si>
    <t>Prioritet</t>
  </si>
  <si>
    <t>Solgt</t>
  </si>
  <si>
    <t>HSK</t>
  </si>
  <si>
    <t>Gressvik Properties</t>
  </si>
  <si>
    <t>22000 Hjalmar Bjørges vei 105</t>
  </si>
  <si>
    <t>Fredrikstad</t>
  </si>
  <si>
    <t>Høst' 23</t>
  </si>
  <si>
    <t>BUDSJETT</t>
  </si>
  <si>
    <t>Hallgruppen AS</t>
  </si>
  <si>
    <t>22001 Apilar</t>
  </si>
  <si>
    <t>Røyken/ Hurum</t>
  </si>
  <si>
    <t>Februar</t>
  </si>
  <si>
    <t xml:space="preserve">Seksjonert PIR er ok RIBr. Priset inn. </t>
  </si>
  <si>
    <t>22002 Killingmo Freseservicve</t>
  </si>
  <si>
    <t>Gardermoen</t>
  </si>
  <si>
    <t xml:space="preserve">Stål sier PIR fullt ut på lagerdelen. Kun mineralull på kontordelen. </t>
  </si>
  <si>
    <t>22003 Aurevegen 2</t>
  </si>
  <si>
    <t>Stål sier PIR full ut. Priset inn.</t>
  </si>
  <si>
    <t>Straye Stålbygg AS</t>
  </si>
  <si>
    <t>22004 Coop Geithus</t>
  </si>
  <si>
    <t>Geithus</t>
  </si>
  <si>
    <t>Valgt annen leverandør</t>
  </si>
  <si>
    <t>22005 Byggmax Geithus</t>
  </si>
  <si>
    <t>Straye Stålbygg</t>
  </si>
  <si>
    <t>22006 Ihlen Lager Askim</t>
  </si>
  <si>
    <t>Askim</t>
  </si>
  <si>
    <t>Uke 9??</t>
  </si>
  <si>
    <t>Forsøker få gjennom PIR også her. Uke 10 på tekking</t>
  </si>
  <si>
    <t>22007 Brobekkveien 84</t>
  </si>
  <si>
    <t>Oslo</t>
  </si>
  <si>
    <t>Stålbygg har muntlig avtale. Avklare utførelse… Trond L</t>
  </si>
  <si>
    <t>Seby AS/ Veidekke AS</t>
  </si>
  <si>
    <t>22008 OneMed</t>
  </si>
  <si>
    <t>Høst '22</t>
  </si>
  <si>
    <t>Alternativ pris gitt med 0,13. Jobber med RIBr</t>
  </si>
  <si>
    <t>22010 Sofiemyr Tennishall</t>
  </si>
  <si>
    <t>Sofiemyr</t>
  </si>
  <si>
    <t>juni</t>
  </si>
  <si>
    <t xml:space="preserve">Denne SKAL vi ha!! </t>
  </si>
  <si>
    <t>Park &amp; Anlegg</t>
  </si>
  <si>
    <t>22011 Schenker Østfold</t>
  </si>
  <si>
    <t>Moss</t>
  </si>
  <si>
    <t>Q3- 23</t>
  </si>
  <si>
    <t>X</t>
  </si>
  <si>
    <t>UTGÅR</t>
  </si>
  <si>
    <t>Henrik følger opp!! Fredrik har fulgt opp stål- avventer svar. Satt på vent???</t>
  </si>
  <si>
    <t>22012 Lagerhall Jowa</t>
  </si>
  <si>
    <t>Sarpsborg</t>
  </si>
  <si>
    <t>Uvist- Vår -24???</t>
  </si>
  <si>
    <t>Thermica AS</t>
  </si>
  <si>
    <t>22013 NREP Moss</t>
  </si>
  <si>
    <r>
      <t xml:space="preserve">BUDSJETT </t>
    </r>
    <r>
      <rPr>
        <b/>
        <sz val="10"/>
        <color theme="1"/>
        <rFont val="Calibri"/>
        <family val="2"/>
        <scheme val="minor"/>
      </rPr>
      <t xml:space="preserve">Se Vestre Vanemvei </t>
    </r>
  </si>
  <si>
    <t>22014 Ordfører Utnes vei 51</t>
  </si>
  <si>
    <t>Rygge</t>
  </si>
  <si>
    <t>JUNI-JULI</t>
  </si>
  <si>
    <t>SB møte med Holmskau uke 11</t>
  </si>
  <si>
    <t>22015 Coop ørebekk</t>
  </si>
  <si>
    <t>Sommer '23</t>
  </si>
  <si>
    <t xml:space="preserve">Fått jobben SB. Stålbygg er kunde! </t>
  </si>
  <si>
    <t>22019 Skjeberg Marinesenter</t>
  </si>
  <si>
    <t>Skjeberg</t>
  </si>
  <si>
    <t>Nordbygg AS</t>
  </si>
  <si>
    <t>22022 Kongeveien 49</t>
  </si>
  <si>
    <t>To bygg samlet. A og C. Tillegg for MU. Jan Erik Henrik</t>
  </si>
  <si>
    <t>22023 Lammenes Næringspark Hvaler</t>
  </si>
  <si>
    <t>Hvaler</t>
  </si>
  <si>
    <t>Holmskau</t>
  </si>
  <si>
    <t>22025 Dekkhotell Røyken</t>
  </si>
  <si>
    <t>mai-juni/ 23</t>
  </si>
  <si>
    <t>2 500 000 avtalt med Daniel. Inkl. trappetårn.</t>
  </si>
  <si>
    <t>Straye Trebygg AS</t>
  </si>
  <si>
    <t>22027 Kiwi Sorgenfri</t>
  </si>
  <si>
    <t>22102 Studio City Norway</t>
  </si>
  <si>
    <t>Mysen</t>
  </si>
  <si>
    <t>Lunken</t>
  </si>
  <si>
    <t>23002 Asko Oslofjord- Kjøreporter</t>
  </si>
  <si>
    <t>Sande</t>
  </si>
  <si>
    <t>jan '23</t>
  </si>
  <si>
    <t>23004 Maxbo Sarpsborg</t>
  </si>
  <si>
    <r>
      <t xml:space="preserve">Revideres 10.02.23. </t>
    </r>
    <r>
      <rPr>
        <b/>
        <sz val="10"/>
        <color theme="1"/>
        <rFont val="Calibri"/>
        <family val="2"/>
        <scheme val="minor"/>
      </rPr>
      <t>Sendes av SB</t>
    </r>
    <r>
      <rPr>
        <sz val="10"/>
        <color theme="1"/>
        <rFont val="Calibri"/>
        <family val="2"/>
        <scheme val="minor"/>
      </rPr>
      <t xml:space="preserve">. Sjekk med siste underlag fra Jan Erik. </t>
    </r>
  </si>
  <si>
    <t>Peab/ Straye Stålbygg</t>
  </si>
  <si>
    <t>23005 Posten Moss</t>
  </si>
  <si>
    <t xml:space="preserve">Utsatt til 2024/ ubestemt tid- Kalkulert, men ikke sendt til SB. 12,2M Mestertak </t>
  </si>
  <si>
    <t>23007 Mekonomen Gjøvik</t>
  </si>
  <si>
    <t>Gjøvik</t>
  </si>
  <si>
    <t>UTGÅR- Blitt til Mekonomen Vestby</t>
  </si>
  <si>
    <t>23009 Nett tjenester</t>
  </si>
  <si>
    <t>Holmskau- På hold??</t>
  </si>
  <si>
    <t>A Bygg</t>
  </si>
  <si>
    <t>23012 OLD HN1</t>
  </si>
  <si>
    <t>Drøbak</t>
  </si>
  <si>
    <t>April-mai</t>
  </si>
  <si>
    <t>Forsøkt ringe 16.02.2023</t>
  </si>
  <si>
    <t>23014 Ahlsell- Holmenga</t>
  </si>
  <si>
    <t>Nebbenes</t>
  </si>
  <si>
    <t>23016 Stansefabrikken</t>
  </si>
  <si>
    <t>SEPTEMBER</t>
  </si>
  <si>
    <t xml:space="preserve">SB møte med Holmskau uke 11. </t>
  </si>
  <si>
    <t>23018 Holtskogen Plastretur</t>
  </si>
  <si>
    <t>Tomter</t>
  </si>
  <si>
    <t>Entreprenør ikke valgt. Thermica- Sondre Følg opp!!!</t>
  </si>
  <si>
    <t>23019 Osloveien 624</t>
  </si>
  <si>
    <t>Enebakk</t>
  </si>
  <si>
    <t>Betonmast Romerike</t>
  </si>
  <si>
    <t>23020 Møller BT2</t>
  </si>
  <si>
    <t xml:space="preserve">23023 Asko Oslofjord Miljøstasjon  </t>
  </si>
  <si>
    <t>23029 Ringeriksveien 191C</t>
  </si>
  <si>
    <t>Lysaker</t>
  </si>
  <si>
    <t>Straye Hybrid AS</t>
  </si>
  <si>
    <t>23031 Kaldbakken Servicebygg</t>
  </si>
  <si>
    <t>Kaldbakken</t>
  </si>
  <si>
    <t>23033 Lager Lillesand</t>
  </si>
  <si>
    <t>Lillesand</t>
  </si>
  <si>
    <t>3 helt like bygg- mulig tapt…</t>
  </si>
  <si>
    <t>23035 Monter Trysil</t>
  </si>
  <si>
    <t>Trysil</t>
  </si>
  <si>
    <t>Aug- sept</t>
  </si>
  <si>
    <t>23036 Myrveien Råde</t>
  </si>
  <si>
    <t>Råde</t>
  </si>
  <si>
    <t>September</t>
  </si>
  <si>
    <t>23037 Lagerbygg Stokke</t>
  </si>
  <si>
    <t>Stokke</t>
  </si>
  <si>
    <t>August</t>
  </si>
  <si>
    <t xml:space="preserve">Fikk STÅLBYGG landet denne med rabatt?? </t>
  </si>
  <si>
    <t>23038 Bulk Wood</t>
  </si>
  <si>
    <t>Lindeberg</t>
  </si>
  <si>
    <t>Høst '23</t>
  </si>
  <si>
    <t xml:space="preserve">Sedum utgår. </t>
  </si>
  <si>
    <t>Veidekke Logistikkbygg AS</t>
  </si>
  <si>
    <t>23039 Lahaugmoen</t>
  </si>
  <si>
    <t>Skjetten</t>
  </si>
  <si>
    <t>Fortsatt litt frem i tid</t>
  </si>
  <si>
    <t>23040 Trondheimsveien 183- Vaskehall</t>
  </si>
  <si>
    <t>Skedsmokorset</t>
  </si>
  <si>
    <t>Uke 21</t>
  </si>
  <si>
    <t>Veidekke AS</t>
  </si>
  <si>
    <t>23042 Hallingplast</t>
  </si>
  <si>
    <t>Hallingdal</t>
  </si>
  <si>
    <t>Opsjon for REIM isolering og 0,13</t>
  </si>
  <si>
    <t>23043 REMA1000 Ørebekk</t>
  </si>
  <si>
    <t>Opsjoner for NOX og 0,13</t>
  </si>
  <si>
    <t>23044 Elindveien 101</t>
  </si>
  <si>
    <t>23046 Stena Recycling</t>
  </si>
  <si>
    <t>Tillegg MU</t>
  </si>
  <si>
    <t>23047 OLD3 Volvo</t>
  </si>
  <si>
    <t>Opsjon 0,13</t>
  </si>
  <si>
    <t>23049 Tilbygg Coop Manstad</t>
  </si>
  <si>
    <t>Manstad</t>
  </si>
  <si>
    <t>23050 Kvadratera Kongsberg</t>
  </si>
  <si>
    <t>Kongsberg</t>
  </si>
  <si>
    <t xml:space="preserve">Straye Stålbygg AS </t>
  </si>
  <si>
    <t>23051 Trondheimsveien 62</t>
  </si>
  <si>
    <t>Ble delt og vi sa nei takk</t>
  </si>
  <si>
    <t>23052 Canes Nybygg</t>
  </si>
  <si>
    <t>23053 Reolteknikk</t>
  </si>
  <si>
    <t>Nannestad</t>
  </si>
  <si>
    <t>Kingspan</t>
  </si>
  <si>
    <t>23054 Asian Food</t>
  </si>
  <si>
    <t>Frogner/ Gardermoen</t>
  </si>
  <si>
    <t>Januar '24</t>
  </si>
  <si>
    <t>23055 Qmatec</t>
  </si>
  <si>
    <t>Vinje</t>
  </si>
  <si>
    <t>23056 Starco Ålesund</t>
  </si>
  <si>
    <t>Ålesund</t>
  </si>
  <si>
    <t>Veidekke tror den er tapt</t>
  </si>
  <si>
    <t>23057 Lafinto</t>
  </si>
  <si>
    <t>23059 Lager for alle</t>
  </si>
  <si>
    <t>Mjøndalen</t>
  </si>
  <si>
    <t>23060 Porche Center Fredrikstad</t>
  </si>
  <si>
    <t>23066 Stena Recycling HEB</t>
  </si>
  <si>
    <t>Lillestræm</t>
  </si>
  <si>
    <t xml:space="preserve">23067 OSO Warehouse </t>
  </si>
  <si>
    <t>Hokksund</t>
  </si>
  <si>
    <t>23068 Thaugland- Bjørnerudveien 16</t>
  </si>
  <si>
    <t>23070 Kiwi Veum</t>
  </si>
  <si>
    <t>23071 Kiwi Pancoveien</t>
  </si>
  <si>
    <t>23072 Lager Rødmyr</t>
  </si>
  <si>
    <t>Skien</t>
  </si>
  <si>
    <t>23073 Vestre Vanemvei I/L8</t>
  </si>
  <si>
    <t>Opsjoner med 0,13 samt 2 ulike utførelser med MU</t>
  </si>
  <si>
    <t>23074 TECE Utvidelse</t>
  </si>
  <si>
    <t xml:space="preserve">Factor- får de jobb?? Ser dårlig ut. </t>
  </si>
  <si>
    <t>23075 Johan Follestadvei 18- Høytlager</t>
  </si>
  <si>
    <t>Åros</t>
  </si>
  <si>
    <t>23076 Bulk/CTS Nordics Hanekleiva</t>
  </si>
  <si>
    <t>23077 BOS Berger</t>
  </si>
  <si>
    <t>Berger</t>
  </si>
  <si>
    <t>Ble for dyrt. Avsluttet prosessen</t>
  </si>
  <si>
    <t>23078 OAC GF Logistikk</t>
  </si>
  <si>
    <t>23079 Østfold Kran</t>
  </si>
  <si>
    <t>Østfold</t>
  </si>
  <si>
    <t xml:space="preserve">23080 Neumann </t>
  </si>
  <si>
    <t>Grålum</t>
  </si>
  <si>
    <t>0,18 opsjon 0,13- LIGGER AN TIL ORDRE</t>
  </si>
  <si>
    <t>23081 Gummiservice</t>
  </si>
  <si>
    <t xml:space="preserve">0,18 opsjon 0,13- Holmskau.Blått tak! </t>
  </si>
  <si>
    <t>23087 Solgård Skog</t>
  </si>
  <si>
    <t>Heter nå NAV Moss</t>
  </si>
  <si>
    <t>23089 Sletvold</t>
  </si>
  <si>
    <t>Jessheim</t>
  </si>
  <si>
    <t>23090 Atlas Gardermoen</t>
  </si>
  <si>
    <t>23092 E- wheels</t>
  </si>
  <si>
    <t>23094 Torvstikkeren 8</t>
  </si>
  <si>
    <t>Blir ikke bygget</t>
  </si>
  <si>
    <t>23095 Ulvedalsvegen 95</t>
  </si>
  <si>
    <t>23096 New Wave</t>
  </si>
  <si>
    <t>23097 Høstbakken 11</t>
  </si>
  <si>
    <t>Halden</t>
  </si>
  <si>
    <t>23098 Viking Norsafe</t>
  </si>
  <si>
    <t>Arendal</t>
  </si>
  <si>
    <t>Tror den er tapt</t>
  </si>
  <si>
    <t>23100 Atracco Arendal</t>
  </si>
  <si>
    <t>GODE SIGNALER!</t>
  </si>
  <si>
    <t>23101 Lagerseksjoner Moss og Våler</t>
  </si>
  <si>
    <t>Moss+ Våler</t>
  </si>
  <si>
    <t>23102 Studio City Norway</t>
  </si>
  <si>
    <t>OBS!</t>
  </si>
  <si>
    <t>23104 Ragn Sells Herbergåsen</t>
  </si>
  <si>
    <t>Oppaker</t>
  </si>
  <si>
    <t>Revideres?</t>
  </si>
  <si>
    <t>23105 Høstbakken 1</t>
  </si>
  <si>
    <t>23106 Høstbakken 2</t>
  </si>
  <si>
    <t>23107 Frano Oslo</t>
  </si>
  <si>
    <t>23108 Lahaugmoen</t>
  </si>
  <si>
    <t>Skedsmo</t>
  </si>
  <si>
    <t>I posisjon med Straye Stålbygg OBS!</t>
  </si>
  <si>
    <t>23109 Holporten</t>
  </si>
  <si>
    <t>Eidsvoll</t>
  </si>
  <si>
    <t>23110 Nenset Bilverksted</t>
  </si>
  <si>
    <t>Porsgrunn</t>
  </si>
  <si>
    <t>23111 Lørenskoghallen.</t>
  </si>
  <si>
    <t>Lørenskog</t>
  </si>
  <si>
    <t xml:space="preserve">SE EGNE TILBUD. Seltor og ØM Fjeld. Faktor tapte den. </t>
  </si>
  <si>
    <t>StrayeIndustri AS</t>
  </si>
  <si>
    <t>23112 Kiwi Porsgrunn</t>
  </si>
  <si>
    <t>23113 Telefrukt BT3</t>
  </si>
  <si>
    <t>Gvarv- Telemark</t>
  </si>
  <si>
    <t>23114 OLD3 Volvo Carport- pall</t>
  </si>
  <si>
    <t>Nylig revidert</t>
  </si>
  <si>
    <t>23115 Byggern Kambo</t>
  </si>
  <si>
    <t>Kambo</t>
  </si>
  <si>
    <t>0,10W/m²K på kontor og lavdel. Holmskau</t>
  </si>
  <si>
    <t>23116 Nexans Svingskive</t>
  </si>
  <si>
    <t>23120 Motorsportveien 28</t>
  </si>
  <si>
    <t>Rakkestad</t>
  </si>
  <si>
    <t>23121 Aarbakke Verkstedhall</t>
  </si>
  <si>
    <t>Bryne</t>
  </si>
  <si>
    <t>23123 GMM Eiendom</t>
  </si>
  <si>
    <t>Rudshøgda</t>
  </si>
  <si>
    <t>Bomekan</t>
  </si>
  <si>
    <t>23124 Andebu</t>
  </si>
  <si>
    <t>Andebu</t>
  </si>
  <si>
    <t>23125 Lagerbygg Gardermoen</t>
  </si>
  <si>
    <t>Satt på vent</t>
  </si>
  <si>
    <t>23126 Mekonomen Vestby</t>
  </si>
  <si>
    <t>Vestby</t>
  </si>
  <si>
    <t>Kjemper mot 4Tak og Protan</t>
  </si>
  <si>
    <t>23127 OLD2</t>
  </si>
  <si>
    <t>Hallmaker AS</t>
  </si>
  <si>
    <t>23128 Alvimveien 59</t>
  </si>
  <si>
    <t>Sarpborg</t>
  </si>
  <si>
    <t>23129 Hensmoen</t>
  </si>
  <si>
    <t>Hønefoss</t>
  </si>
  <si>
    <t>Hallgruppen</t>
  </si>
  <si>
    <t>23130 XL Bygg Trondheim</t>
  </si>
  <si>
    <t>Trondheim</t>
  </si>
  <si>
    <t>24001 SEW Eurodrive</t>
  </si>
  <si>
    <t>Norbygg</t>
  </si>
  <si>
    <t>24002 Østre Rælings veg 176</t>
  </si>
  <si>
    <t>Rælingen</t>
  </si>
  <si>
    <t>24003 Kobberbergsveien 9</t>
  </si>
  <si>
    <t>24004 Kalnesbrekka</t>
  </si>
  <si>
    <t>Starter sommer 2024</t>
  </si>
  <si>
    <t>24006 UNIL BT3 rehab</t>
  </si>
  <si>
    <t>24007 Kitron Longum</t>
  </si>
  <si>
    <t>OBS! Ganitt AS fikk jobben. Sjekker tekkertilbud</t>
  </si>
  <si>
    <t>24008 Nesøya Tennishall</t>
  </si>
  <si>
    <t>Høstbakken 11 AS</t>
  </si>
  <si>
    <t>24009 Høstbakken 11- rehab</t>
  </si>
  <si>
    <t>24010 Spar Klavestadhaugen</t>
  </si>
  <si>
    <t>24011 Røde Kors</t>
  </si>
  <si>
    <t>Fredrikstad?</t>
  </si>
  <si>
    <t>24012 Toyota MH</t>
  </si>
  <si>
    <t xml:space="preserve">Straye Stålbygg tapte denne. Veidekke tok denne </t>
  </si>
  <si>
    <t>24013 Bulk/ Snipetjernveien 3</t>
  </si>
  <si>
    <t>Langhus</t>
  </si>
  <si>
    <t>24014 Lagerseksjoner Råbekken</t>
  </si>
  <si>
    <t>24015 Brennaveien 4</t>
  </si>
  <si>
    <t>24016 Svenskejordet</t>
  </si>
  <si>
    <t>24017 Posten LSO</t>
  </si>
  <si>
    <t>Alfaset</t>
  </si>
  <si>
    <t>A Bygg- Vet ikke med tak, men Straye har denne</t>
  </si>
  <si>
    <t>24019 Monter Vestby</t>
  </si>
  <si>
    <t>24020 OLD Carport &amp; Pallelager</t>
  </si>
  <si>
    <t>24021 Lagerseksjoner Hosam Våler</t>
  </si>
  <si>
    <t>Våler</t>
  </si>
  <si>
    <t>24023 Asko Automatlager Tobakk</t>
  </si>
  <si>
    <t>24024 Snipetjernveien 4</t>
  </si>
  <si>
    <t>24025 Kragerø Padelbane</t>
  </si>
  <si>
    <t>Kragerø</t>
  </si>
  <si>
    <t>Straye Hybridbygg AS</t>
  </si>
  <si>
    <t>24026 Kalnes Næringspark</t>
  </si>
  <si>
    <t>24028 ABB Skien Tilbygg</t>
  </si>
  <si>
    <t>24029 Det Vietnamesiske Buddhistsamfunn</t>
  </si>
  <si>
    <t xml:space="preserve">Enter Solutions AS </t>
  </si>
  <si>
    <t>24030 Loyds Eiendom</t>
  </si>
  <si>
    <t>24031 Weland Lagerbygg</t>
  </si>
  <si>
    <t>24032 Killingmo B2</t>
  </si>
  <si>
    <t>24035 Gardermoen Congress</t>
  </si>
  <si>
    <t>OBS! Opsjon på APP sendt 21.05.2024. Revidert 0,13 med opsjon på 0,11</t>
  </si>
  <si>
    <t>24037 Østbuen Eiendom</t>
  </si>
  <si>
    <t>24038 Starco Gardermoen</t>
  </si>
  <si>
    <t>Straye Stålbygg AS / Hallmaker</t>
  </si>
  <si>
    <t>24039 OBS Bygg Kongsberg</t>
  </si>
  <si>
    <t>24044 Logistikkbygg F1</t>
  </si>
  <si>
    <t>Gardermoen?</t>
  </si>
  <si>
    <t xml:space="preserve">OBS!!!! </t>
  </si>
  <si>
    <t xml:space="preserve">Straye Hybridbygg AS </t>
  </si>
  <si>
    <t>24045 Næringsbygg Vestmarka</t>
  </si>
  <si>
    <t>Sortland- Lofoten</t>
  </si>
  <si>
    <t>24047 Asko Ladestasjon kondenstekking</t>
  </si>
  <si>
    <t>Vestfold</t>
  </si>
  <si>
    <t>24048 Majorvegen 26-28</t>
  </si>
  <si>
    <t>T.r Eiendom AS</t>
  </si>
  <si>
    <t>24049 Spydeberg- Kjell Særlie</t>
  </si>
  <si>
    <t>Spydeberg</t>
  </si>
  <si>
    <t>24050 Lager Tilbygg Aremark</t>
  </si>
  <si>
    <t>Aremark</t>
  </si>
  <si>
    <t>24051 Rema1000 Vinterbro</t>
  </si>
  <si>
    <t>Vinterbro</t>
  </si>
  <si>
    <t>PEAB</t>
  </si>
  <si>
    <t>24052 Midtveien 5</t>
  </si>
  <si>
    <t xml:space="preserve">Råde? </t>
  </si>
  <si>
    <t>24053 Bilklargjøring Fiskumparken</t>
  </si>
  <si>
    <t>Drammen- Kongsberg</t>
  </si>
  <si>
    <t>24054 Vaske og klargjøringshall</t>
  </si>
  <si>
    <t>Vest Entreprenør</t>
  </si>
  <si>
    <t>24055 Stamas</t>
  </si>
  <si>
    <t>Rogaland</t>
  </si>
  <si>
    <t>24056 Nexans Garderobebygg Halden</t>
  </si>
  <si>
    <t>24057 Åkebergmosen Lagerbygg</t>
  </si>
  <si>
    <t>Vestre Bærum Tennis</t>
  </si>
  <si>
    <t>24058 Vestre Bærum Tennis- Rehab</t>
  </si>
  <si>
    <t>Bærum</t>
  </si>
  <si>
    <t>KL</t>
  </si>
  <si>
    <t>Vestre Bærum tennisklubb</t>
  </si>
  <si>
    <t>24058 Vestre Bærum tennisklubb</t>
  </si>
  <si>
    <t>Brick</t>
  </si>
  <si>
    <t>24059 UNIL Omtekking tak 2 delt</t>
  </si>
  <si>
    <t xml:space="preserve">24060 VKR Mottaksbygg </t>
  </si>
  <si>
    <t>Valdres</t>
  </si>
  <si>
    <t>24061 Megaflis Sem</t>
  </si>
  <si>
    <t>Tønsberg</t>
  </si>
  <si>
    <t>24062 Lahaugmoen Z3</t>
  </si>
  <si>
    <t>Gitt tilbake 11.09.24 at vi står på prisen</t>
  </si>
  <si>
    <t>24064 E18- Langangen- Rugtvedt</t>
  </si>
  <si>
    <t>Ga aldri tilbud</t>
  </si>
  <si>
    <t xml:space="preserve">Betongbygg AS </t>
  </si>
  <si>
    <t>24065 St. Marie Gate 68</t>
  </si>
  <si>
    <t>24066 XR Mariestad</t>
  </si>
  <si>
    <t>Mariestad</t>
  </si>
  <si>
    <t>24063 Vilomix Hensmoen</t>
  </si>
  <si>
    <t>Thermica AS/ Hallmaker</t>
  </si>
  <si>
    <t>24068 Tverrveien- Procap</t>
  </si>
  <si>
    <t>Egen løsning med Thermica</t>
  </si>
  <si>
    <t>24070 Amsrudbakken</t>
  </si>
  <si>
    <t>24072 Glynittveien 11</t>
  </si>
  <si>
    <t>Ski</t>
  </si>
  <si>
    <t>24071 Østfold Bildemontering</t>
  </si>
  <si>
    <t>24075 Pet- Pack Drikker</t>
  </si>
  <si>
    <t>Aurskog</t>
  </si>
  <si>
    <t>24074 Hurum Dekk</t>
  </si>
  <si>
    <t>Hurum</t>
  </si>
  <si>
    <t>24076 Granittveien 12</t>
  </si>
  <si>
    <t>24079 Sørby Utleie Halden</t>
  </si>
  <si>
    <t>24080 Bekkeseth Verkstedbygg</t>
  </si>
  <si>
    <t>PEAB AS</t>
  </si>
  <si>
    <t>24081 NAWSARH</t>
  </si>
  <si>
    <t>24083 Depo Rygge</t>
  </si>
  <si>
    <t>Fusen</t>
  </si>
  <si>
    <t>24084 Valhall Arena- Innfesting solceller</t>
  </si>
  <si>
    <t>24086 Bredmyra Tilbygg</t>
  </si>
  <si>
    <t>24085 Hallmaker Sarpsborg</t>
  </si>
  <si>
    <t xml:space="preserve">Avtalt på telefon rett under 700/m² for å komme til enighet om første prosjekt </t>
  </si>
  <si>
    <t xml:space="preserve">24087 Torpumveien </t>
  </si>
  <si>
    <t>24088 Närko</t>
  </si>
  <si>
    <t>??</t>
  </si>
  <si>
    <t xml:space="preserve">Seltor AS </t>
  </si>
  <si>
    <t>24089 Rema1000 Kragerø</t>
  </si>
  <si>
    <t>24090 Tuven Senteret</t>
  </si>
  <si>
    <t>Notodden</t>
  </si>
  <si>
    <t>24091 Nordbergveien 115</t>
  </si>
  <si>
    <t>Sarpsborg?</t>
  </si>
  <si>
    <t>24093 Asko Vestby Lastesluse</t>
  </si>
  <si>
    <t>24092 Lagerhall Rolvsøy</t>
  </si>
  <si>
    <t>Rolvsøy</t>
  </si>
  <si>
    <t>24094 Raufoss Technology</t>
  </si>
  <si>
    <t>24095 Majorvegen 16</t>
  </si>
  <si>
    <t xml:space="preserve">Gardermoen </t>
  </si>
  <si>
    <t>24096 Varnaveien 34AS</t>
  </si>
  <si>
    <t>24098 Kiwi Heerveien 9 Drøbak</t>
  </si>
  <si>
    <t>24099 Johan Follestadsvei 10</t>
  </si>
  <si>
    <t>24100 Bulk kjøl Frys Romerike</t>
  </si>
  <si>
    <t>Romerike</t>
  </si>
  <si>
    <t>24101 Nortura Fryselager Tønsberg</t>
  </si>
  <si>
    <t>24102 Kilemoen Fase 2</t>
  </si>
  <si>
    <t>Desember 24- jan 25</t>
  </si>
  <si>
    <t>24103 Rudskogveien 83</t>
  </si>
  <si>
    <t>Rudskogen</t>
  </si>
  <si>
    <t>24105 Dive in Kvia 0,13, SW opsjon MU</t>
  </si>
  <si>
    <t>Forus/ Stavanger</t>
  </si>
  <si>
    <t>Totalbetong</t>
  </si>
  <si>
    <t>24106 Cermaq Postsmolt Finnmark</t>
  </si>
  <si>
    <t>Sørøya/ Hammerfest</t>
  </si>
  <si>
    <t>24107 Valhallvegen 14</t>
  </si>
  <si>
    <t>24108 Skjellfossveien 30 Ringvoll</t>
  </si>
  <si>
    <t>Hobøl</t>
  </si>
  <si>
    <t>24109 Aurvegen 2</t>
  </si>
  <si>
    <t>24110 Hellefoss Paper</t>
  </si>
  <si>
    <t>Straye Industri AS</t>
  </si>
  <si>
    <t>24111 Østfold Avfallssortering IKS</t>
  </si>
  <si>
    <t>Beskrevet entreprise</t>
  </si>
  <si>
    <t>24112 Normeka Aurskog</t>
  </si>
  <si>
    <t xml:space="preserve">24113 Minilokaler </t>
  </si>
  <si>
    <t>24115 Mosseveien 104</t>
  </si>
  <si>
    <t>Hallmaker AS/ Straye Stålbygg AS</t>
  </si>
  <si>
    <t>24114 Hallingdal Bilsenter</t>
  </si>
  <si>
    <t>Gol</t>
  </si>
  <si>
    <t>Workman AS</t>
  </si>
  <si>
    <t>24116 Bassengveien 16</t>
  </si>
  <si>
    <t>Askim?</t>
  </si>
  <si>
    <t>24117 Speira Holmestrand</t>
  </si>
  <si>
    <t>Holmestrand</t>
  </si>
  <si>
    <t>24118 Lønningsflaten</t>
  </si>
  <si>
    <t>Bergen</t>
  </si>
  <si>
    <t>x</t>
  </si>
  <si>
    <t>24121 Asko Fryselager Oslofjord</t>
  </si>
  <si>
    <t>24122 Relog</t>
  </si>
  <si>
    <t>Innvendige brannvegger tilpasses oppdatert modell</t>
  </si>
  <si>
    <t>24119 Driv Energi Nebbenes</t>
  </si>
  <si>
    <t>24123 Doka Follestad</t>
  </si>
  <si>
    <t>24125 Killingmo Verksted</t>
  </si>
  <si>
    <t>24124 Gneisveien 6</t>
  </si>
  <si>
    <t>Ytre Enebakk</t>
  </si>
  <si>
    <t>24126 Skeidar</t>
  </si>
  <si>
    <t xml:space="preserve">Blått tak! </t>
  </si>
  <si>
    <t>24128 Ovun Produksjonslokale</t>
  </si>
  <si>
    <t>Moelven</t>
  </si>
  <si>
    <t>24127 Bedriftsveien 10</t>
  </si>
  <si>
    <t xml:space="preserve">Rakkestad? </t>
  </si>
  <si>
    <t>24130 Nedre Kulås brl</t>
  </si>
  <si>
    <t>REHAB</t>
  </si>
  <si>
    <t>24129 Kampenveien 1</t>
  </si>
  <si>
    <t>24131 Norse Halliburton</t>
  </si>
  <si>
    <t>Stavanger</t>
  </si>
  <si>
    <t>KUN BESTILT BYGG 1- Total sum 6 089 380,-- Bygg 1 1 435 000,-</t>
  </si>
  <si>
    <t>24134 Kaldstad Utvikling</t>
  </si>
  <si>
    <t>Straye Stålbygg AS/ Hallmaker</t>
  </si>
  <si>
    <t>24132 Hellerud Del 1 Magne Landrø</t>
  </si>
  <si>
    <t>Hellerud</t>
  </si>
  <si>
    <t>24135 Rudskogen Næringspark</t>
  </si>
  <si>
    <t>Rudskogoen</t>
  </si>
  <si>
    <t>Veidekke Bygg- Vest</t>
  </si>
  <si>
    <t>24138 P-Hus Ålesund Sykehus</t>
  </si>
  <si>
    <t>Membran 13700m². Derfor lavere snitt</t>
  </si>
  <si>
    <t>Geir Nielsen (Holmskau)</t>
  </si>
  <si>
    <t>24139 Tindlund 61A</t>
  </si>
  <si>
    <t>Tindlund</t>
  </si>
  <si>
    <t>Straye Industri</t>
  </si>
  <si>
    <t>24136 Eiksenteret Borgeskogen</t>
  </si>
  <si>
    <t xml:space="preserve">Borgehaugen </t>
  </si>
  <si>
    <t>24140 Dyrskuveien 13</t>
  </si>
  <si>
    <t>Kløfta</t>
  </si>
  <si>
    <t>24141 Damvegen 14 Ny vaskehall</t>
  </si>
  <si>
    <t>Braskereidfoss</t>
  </si>
  <si>
    <t>24142 OAC Tørrlager Gardermoen</t>
  </si>
  <si>
    <t>24143 Sessvollvegen 59/Implenia Dal</t>
  </si>
  <si>
    <t>Dal</t>
  </si>
  <si>
    <t>24144 Ølen Idrettshall</t>
  </si>
  <si>
    <t>Haugesund</t>
  </si>
  <si>
    <t>24145 Benteler B213</t>
  </si>
  <si>
    <t>Raufoss</t>
  </si>
  <si>
    <t>24147 Bruket 23</t>
  </si>
  <si>
    <t>Lett tak- UTGÅR</t>
  </si>
  <si>
    <t>24146 Gardermoveien 129</t>
  </si>
  <si>
    <t xml:space="preserve">24148 Lammenes </t>
  </si>
  <si>
    <t>24149 Fotballhall Søgne</t>
  </si>
  <si>
    <t>Søgne</t>
  </si>
  <si>
    <t>24150 Yven IF</t>
  </si>
  <si>
    <t>24151 Åsveien 6</t>
  </si>
  <si>
    <t>24152 Heimdal Storbilsenter</t>
  </si>
  <si>
    <t>24153 Kemira</t>
  </si>
  <si>
    <t>24154 Skolesenter Værnes</t>
  </si>
  <si>
    <t>24156 OBS Bygg Oppdal</t>
  </si>
  <si>
    <t>Oppdal</t>
  </si>
  <si>
    <t>24155 Hangar Sola</t>
  </si>
  <si>
    <t>Sola- Stavanger</t>
  </si>
  <si>
    <t>24157 Bulk Wood del 2</t>
  </si>
  <si>
    <t>24158 Lagerhall Maura</t>
  </si>
  <si>
    <t>24159 Sarpsborg Elektro</t>
  </si>
  <si>
    <t>24161 Stomme Tryggarp</t>
  </si>
  <si>
    <t>Sverige</t>
  </si>
  <si>
    <t>Kravende å komme under 400/m²</t>
  </si>
  <si>
    <t>24160 Johan Follesstadsvei 20</t>
  </si>
  <si>
    <t>Røyken</t>
  </si>
  <si>
    <t>24162 Kiwi Narvik</t>
  </si>
  <si>
    <t>Narvik</t>
  </si>
  <si>
    <t>24164 Sola FK</t>
  </si>
  <si>
    <t>24165 FDC Forsvarsbygg</t>
  </si>
  <si>
    <t>Budget pris</t>
  </si>
  <si>
    <t xml:space="preserve">750/ m² muntlig med Gjermund </t>
  </si>
  <si>
    <t>24163 Vigra Skule</t>
  </si>
  <si>
    <t>Vigra</t>
  </si>
  <si>
    <t xml:space="preserve"> 10.01.25????</t>
  </si>
  <si>
    <t>24167 Trondheim Lufthavn Værnes</t>
  </si>
  <si>
    <t>24166 Lagerseksjoner Karmøy</t>
  </si>
  <si>
    <t>Karmøy</t>
  </si>
  <si>
    <t>24168 Papp presse Mosjøen</t>
  </si>
  <si>
    <t>Mosjøen</t>
  </si>
  <si>
    <t>24169 Logistikkbygg Lier</t>
  </si>
  <si>
    <t>Lier</t>
  </si>
  <si>
    <t>Ønsker tillegg blått tak- 1,5mm og perm. Taksikring</t>
  </si>
  <si>
    <t>24170 Ustadhagan 2</t>
  </si>
  <si>
    <t>Hallmaker</t>
  </si>
  <si>
    <t>24172 Lier- Hallmaker</t>
  </si>
  <si>
    <t>Lier/ Drammen</t>
  </si>
  <si>
    <t>24171 Iddeveien 44</t>
  </si>
  <si>
    <t xml:space="preserve">Prosjektet gikk til KM Bygg. </t>
  </si>
  <si>
    <t>24173 Søndre Meløy Flerbrukshall</t>
  </si>
  <si>
    <t>Meløy</t>
  </si>
  <si>
    <t>25001 EMSG Stockholm Group</t>
  </si>
  <si>
    <t>SVENSKEPRISER benyttet til entreprenør. IKKE priset av Straye Tak</t>
  </si>
  <si>
    <t>24174 Norsea Vestbase</t>
  </si>
  <si>
    <t>Kristiansund</t>
  </si>
  <si>
    <t>25002 Garasjebygg Øvre Eiker</t>
  </si>
  <si>
    <t>Eiker</t>
  </si>
  <si>
    <t>25003 Tilbygg Hurrødhallen</t>
  </si>
  <si>
    <t>25004 Moøya Støren Group</t>
  </si>
  <si>
    <t>Midtre Gauldal</t>
  </si>
  <si>
    <t>25005 Lager Kontorbygg Moss Næringspark</t>
  </si>
  <si>
    <t>Moss Næringspark</t>
  </si>
  <si>
    <t>25007 Midtveien 25- Østbuen Eiendom</t>
  </si>
  <si>
    <t>25006 Næringsbygg Øyberget Selbu</t>
  </si>
  <si>
    <t>Selbu</t>
  </si>
  <si>
    <t>25008 Industriveien 21</t>
  </si>
  <si>
    <t>25009 Norslep Borgerskogen</t>
  </si>
  <si>
    <t>Sandefjord</t>
  </si>
  <si>
    <t>25010 Stabburveien 6 Nybygg</t>
  </si>
  <si>
    <t>Straye Industribygg AS</t>
  </si>
  <si>
    <t xml:space="preserve">25011 Mjåvannsveien </t>
  </si>
  <si>
    <t>Kristiansand</t>
  </si>
  <si>
    <t>dpend/ Straye Stålbygg</t>
  </si>
  <si>
    <t>25013 Høvik Næringspark 69.01 Ahlsell Lier</t>
  </si>
  <si>
    <t>Lier-  Teglverksveien 3</t>
  </si>
  <si>
    <t>Blått TAK</t>
  </si>
  <si>
    <t>Veidekke Ålesund</t>
  </si>
  <si>
    <t>25014 BIV6</t>
  </si>
  <si>
    <t>25015 Høvik Næringspark 69.02 Nellemann</t>
  </si>
  <si>
    <t>Lier-  Teglverksveien 15B</t>
  </si>
  <si>
    <t>Teglverksveien 15B, 3413. </t>
  </si>
  <si>
    <t>25012 Apotek1 Bjerkvik</t>
  </si>
  <si>
    <t>Bjerkvik/ Harstad</t>
  </si>
  <si>
    <t>25016 Vanemveien 20</t>
  </si>
  <si>
    <t xml:space="preserve">REHAB- BAUDER! </t>
  </si>
  <si>
    <t>25018 Post Smolt Indre Harøy Group</t>
  </si>
  <si>
    <t>Harøy</t>
  </si>
  <si>
    <t>25017 H Henriksen Tønsberg</t>
  </si>
  <si>
    <t>25019 Risa Moi Group</t>
  </si>
  <si>
    <t xml:space="preserve">25020 Sarpsborg Tennis </t>
  </si>
  <si>
    <t>25021 Servi Pack Vikersund</t>
  </si>
  <si>
    <t>Vikersund</t>
  </si>
  <si>
    <t>25022 Hofstadvegen 14-16 Melhus</t>
  </si>
  <si>
    <t>Melhus</t>
  </si>
  <si>
    <t>25023 Greveskogen Eiendom</t>
  </si>
  <si>
    <t>25024 Ringtunveien 10</t>
  </si>
  <si>
    <t>Parketteksperten</t>
  </si>
  <si>
    <t>25026 Strykerveien 22b</t>
  </si>
  <si>
    <t>Sellebakk</t>
  </si>
  <si>
    <t>25026 Trykkeriveien 22b</t>
  </si>
  <si>
    <t>25025 Kroken 4</t>
  </si>
  <si>
    <t xml:space="preserve"> </t>
  </si>
  <si>
    <t>25027 Autoville Eiendom AS</t>
  </si>
  <si>
    <t>25028 Næringsbygg MOWI Sørdyrøya</t>
  </si>
  <si>
    <t>Frøya</t>
  </si>
  <si>
    <t>25029 Jotun</t>
  </si>
  <si>
    <t xml:space="preserve">Sandefjord? </t>
  </si>
  <si>
    <t>25030 NAV Moss</t>
  </si>
  <si>
    <t>25031 Rema 1000 ROA</t>
  </si>
  <si>
    <t>Roa/ Lunner</t>
  </si>
  <si>
    <t>25032 Asko Truckladerrom</t>
  </si>
  <si>
    <t>25033 Tinnoset Sag</t>
  </si>
  <si>
    <t>Gransherad</t>
  </si>
  <si>
    <t>25034 Rørkjøp Holmestrand</t>
  </si>
  <si>
    <t xml:space="preserve">25035 BULK Optimera Granittveien </t>
  </si>
  <si>
    <t>25036 Posten Bring Bergen</t>
  </si>
  <si>
    <t xml:space="preserve">25037 Krikegata 19 </t>
  </si>
  <si>
    <t>25038 Tre Trapp AS</t>
  </si>
  <si>
    <t>25039 Vaskehall Lier</t>
  </si>
  <si>
    <t>25040 Vallehellene 19</t>
  </si>
  <si>
    <t>25042 Smartlager/ Ihlen lager Askim</t>
  </si>
  <si>
    <t xml:space="preserve">Byggkompaniet </t>
  </si>
  <si>
    <t>25041 Kløftenveien 18B</t>
  </si>
  <si>
    <t>Saltnes?</t>
  </si>
  <si>
    <t xml:space="preserve">25043 Kars Porsgrunnvegen </t>
  </si>
  <si>
    <t>Ocab AS</t>
  </si>
  <si>
    <t>25044 Ryensvingen 2</t>
  </si>
  <si>
    <t>25045 Lager for alle Bodø</t>
  </si>
  <si>
    <t>Bodø</t>
  </si>
  <si>
    <t>25046 Lager for alle Harestua</t>
  </si>
  <si>
    <t>Harestua</t>
  </si>
  <si>
    <t>25047 Lager for alle Levanger</t>
  </si>
  <si>
    <t>Levanger</t>
  </si>
  <si>
    <t>25049 Scania Oskarshanm</t>
  </si>
  <si>
    <t>25048 Lager for alle Narvik</t>
  </si>
  <si>
    <t>25050 REMA1000 Pepperstad</t>
  </si>
  <si>
    <t>25051 Mosseveien 104 BT2</t>
  </si>
  <si>
    <t>25052 Asko PIR</t>
  </si>
  <si>
    <t>Hanekleiva</t>
  </si>
  <si>
    <t>25053 Solgård Skog 60</t>
  </si>
  <si>
    <t xml:space="preserve">Tilbud sendt med Stålbygg. 600+ per m² rehab. </t>
  </si>
  <si>
    <t>25054 RTG Bygg Gjøvik</t>
  </si>
  <si>
    <t>25055 Bane Nor Ny Verkstedhall</t>
  </si>
  <si>
    <t>25056 Bjarg Arena</t>
  </si>
  <si>
    <t>25057 Jobbhuset</t>
  </si>
  <si>
    <t>25058 Hensmoen Industribygg</t>
  </si>
  <si>
    <t>25061 Næringsbygg GVN17</t>
  </si>
  <si>
    <t>Furuno AS</t>
  </si>
  <si>
    <t>25062 Sjømannsvegen 19</t>
  </si>
  <si>
    <t>25063 Nordkilen 2</t>
  </si>
  <si>
    <t>Gressvik</t>
  </si>
  <si>
    <t>25065 Solgård Skog Hall i Hall</t>
  </si>
  <si>
    <t>25064 Granittveien 2</t>
  </si>
  <si>
    <t>25066 Kanalsletta 14</t>
  </si>
  <si>
    <t>25067 Ringnes CAN</t>
  </si>
  <si>
    <t>25068 Asko Oslofjord Fryselager</t>
  </si>
  <si>
    <t>25069 Matbegleren B1</t>
  </si>
  <si>
    <t xml:space="preserve">25070 Basishall Vestre Slidre </t>
  </si>
  <si>
    <t>Slidre</t>
  </si>
  <si>
    <t>25071 Burger King Rolvsøy</t>
  </si>
  <si>
    <t>25072 Nannestadveien 58-62</t>
  </si>
  <si>
    <t>25073 Johan Follestadsvei 9</t>
  </si>
  <si>
    <t>25074 Busch Vakuum Solutions</t>
  </si>
  <si>
    <t>25075 Drammen Renovasjonsbygg Mesterbygg</t>
  </si>
  <si>
    <t xml:space="preserve">U- verdi 0,18. </t>
  </si>
  <si>
    <t>Straye Tak AS</t>
  </si>
  <si>
    <t xml:space="preserve">25076 Sintef Tillerbruvegen </t>
  </si>
  <si>
    <t>25077 Stor hall på Vestlandet</t>
  </si>
  <si>
    <t>Vestlandet</t>
  </si>
  <si>
    <t xml:space="preserve">25078 Herbergveien </t>
  </si>
  <si>
    <t>25079 Matmegleren B2</t>
  </si>
  <si>
    <t>25080 Herbergsveien</t>
  </si>
  <si>
    <t>KM Bygg</t>
  </si>
  <si>
    <t>25081 Verpetveien 33</t>
  </si>
  <si>
    <t>25082 Oslo Fryselager</t>
  </si>
  <si>
    <t>25083 NCC Hokksund</t>
  </si>
  <si>
    <t>25084 VEAS Prosessbygg</t>
  </si>
  <si>
    <t>Slemmestad</t>
  </si>
  <si>
    <t>Veidekke Entreprenør</t>
  </si>
  <si>
    <t>25085 Holssletta</t>
  </si>
  <si>
    <t>25086 NAV Lierstranda (Drammen)</t>
  </si>
  <si>
    <t>Drammen</t>
  </si>
  <si>
    <t>25087 Årvollskogen 99 BT2</t>
  </si>
  <si>
    <t>25088 MVT Rudshøgda Storbilvask</t>
  </si>
  <si>
    <t>25089 Ringdalskogen</t>
  </si>
  <si>
    <t>Larvik</t>
  </si>
  <si>
    <t>25090 Coop Gardermoen</t>
  </si>
  <si>
    <t>25091 Nygård Park</t>
  </si>
  <si>
    <t>25093 Ringnes avløpsanlegg</t>
  </si>
  <si>
    <t xml:space="preserve">25094 Gamle Hobølvei </t>
  </si>
  <si>
    <t>25095 Lagerhall Kongsberg Maritime</t>
  </si>
  <si>
    <t>25096 Mibau Tau Stavanger</t>
  </si>
  <si>
    <t>25098 Bulk Lindab Group</t>
  </si>
  <si>
    <t xml:space="preserve">25097 Dirk Abrahamsen </t>
  </si>
  <si>
    <t>25099 Europris Inderøy</t>
  </si>
  <si>
    <t>Trøndelag</t>
  </si>
  <si>
    <t>25100 Bulk Lindab</t>
  </si>
  <si>
    <t>25101 NorGips Lier</t>
  </si>
  <si>
    <t>25102 Hensmoveien 42</t>
  </si>
  <si>
    <t>25104 Hjelseth</t>
  </si>
  <si>
    <t>25105 Norsk Trafo Service</t>
  </si>
  <si>
    <t>25106 Kjellingmoveien</t>
  </si>
  <si>
    <t>25107 Deliveien 3</t>
  </si>
  <si>
    <t>25108 OBS Bygg Lillehammer</t>
  </si>
  <si>
    <t>25109 Føresvikvegen 40</t>
  </si>
  <si>
    <t>25110 Bodø havn Postnord</t>
  </si>
  <si>
    <t>25111 Ayvens Nebbenes</t>
  </si>
  <si>
    <t>25112 Lede Ringdalskogen</t>
  </si>
  <si>
    <t>25113 Lager Askim- Sagveien 3</t>
  </si>
  <si>
    <t>25114 Bekken X3</t>
  </si>
  <si>
    <t>25115 Lager Sarpsborg</t>
  </si>
  <si>
    <t>25117 Brekstad Politistasjon</t>
  </si>
  <si>
    <t>25118 LFA Bodø</t>
  </si>
  <si>
    <t>25119 Viplast Marøya</t>
  </si>
  <si>
    <t>25121 Grorud Verksted Floy O</t>
  </si>
  <si>
    <t>25122 XL Bygg Kjørbekk</t>
  </si>
  <si>
    <t>25124 Haugengruppen</t>
  </si>
  <si>
    <t>25125 Lagerseksjoner Hell</t>
  </si>
  <si>
    <t>25126 Thure Trykk- Trommedalsvegen 227</t>
  </si>
  <si>
    <t>25127 Bulk Cirkmar</t>
  </si>
  <si>
    <t>25128 Lagerbygg Bevertangen Group</t>
  </si>
  <si>
    <t>25130 Vestgårdveien 15</t>
  </si>
  <si>
    <t>25131 Nybygg Modul System Group</t>
  </si>
  <si>
    <t>Rema 1000 Raufoss</t>
  </si>
  <si>
    <t>25132 Kiwi Langrønningen Bamle</t>
  </si>
  <si>
    <t>25136 Horten Tennisklubb</t>
  </si>
  <si>
    <t>25137 Holmen</t>
  </si>
  <si>
    <t>25138 Arena Fredrikstad</t>
  </si>
  <si>
    <t>25139 Skarnes</t>
  </si>
  <si>
    <t>Skarnes</t>
  </si>
  <si>
    <t>25140 Grenstøl Tvedestrand</t>
  </si>
  <si>
    <t>Tvedestrand</t>
  </si>
  <si>
    <t>25141 Bulk Datacenter</t>
  </si>
  <si>
    <t>25142 Lerøy Produksjon</t>
  </si>
  <si>
    <t>Lerøy</t>
  </si>
  <si>
    <t>25143 Holterkollveien 1</t>
  </si>
  <si>
    <t>25144 Vallehellene 17</t>
  </si>
  <si>
    <t>25145 SLB One Base</t>
  </si>
  <si>
    <t>25146 Bjørnstadmyra BT3A</t>
  </si>
  <si>
    <t>AB</t>
  </si>
  <si>
    <t>25147 Skoppum</t>
  </si>
  <si>
    <t>25148 Dive In Nensetjordet</t>
  </si>
  <si>
    <t>25149 Ringnes Bygg 52</t>
  </si>
  <si>
    <t>TatalBygg Midt-norge AS</t>
  </si>
  <si>
    <t>25150 TEFT .Nytt fryselager Abelvær</t>
  </si>
  <si>
    <t>Nærøysund Trøndelag</t>
  </si>
  <si>
    <t>Arealbygg</t>
  </si>
  <si>
    <t>25151 Coop Extra Ålen</t>
  </si>
  <si>
    <t>Ålen Trøndelag</t>
  </si>
  <si>
    <t>25152 Lager Rudshøgda</t>
  </si>
  <si>
    <t>25153 Stargate P7</t>
  </si>
  <si>
    <t>25154 Romedal Skole</t>
  </si>
  <si>
    <t>25155 Lagerseksjoner Grenlandsporten</t>
  </si>
  <si>
    <t>Grenland</t>
  </si>
  <si>
    <t>25156 LaFinto Skjermtak</t>
  </si>
  <si>
    <t>Øra</t>
  </si>
  <si>
    <t>25157 OLD5</t>
  </si>
  <si>
    <t>25159 Syljuåsen Grenland Rail</t>
  </si>
  <si>
    <t xml:space="preserve">Sameie Hoffsveien 88 </t>
  </si>
  <si>
    <t xml:space="preserve">25500 Hoffsveien 88 </t>
  </si>
  <si>
    <t>Grinda 9 Revidert</t>
  </si>
  <si>
    <t>25503 Grinda 9</t>
  </si>
  <si>
    <t xml:space="preserve">MK Eiendom AS </t>
  </si>
  <si>
    <t>25505 Ryggehallen</t>
  </si>
  <si>
    <t xml:space="preserve">Hersleth Entreprenør AS </t>
  </si>
  <si>
    <t>25509 Bergheim KS2</t>
  </si>
  <si>
    <t>Sarsborg</t>
  </si>
  <si>
    <t>Jan Olav Martinsen</t>
  </si>
  <si>
    <t>25528 Emiliesvei 10</t>
  </si>
  <si>
    <t>ÅS</t>
  </si>
  <si>
    <t>Oppstart mai/Juni 2026Oppstart uke 22</t>
  </si>
  <si>
    <t>Fjellhaug Eiendom</t>
  </si>
  <si>
    <t>25530 Sinsenveien 15 Lav del</t>
  </si>
  <si>
    <t>Byggekompaniet Østfold</t>
  </si>
  <si>
    <t>25533 Begbytunet</t>
  </si>
  <si>
    <t xml:space="preserve">Byggekompaniet Østfold </t>
  </si>
  <si>
    <t>25534 Villa Mikalsen</t>
  </si>
  <si>
    <t>25535 Romsås senter</t>
  </si>
  <si>
    <t>Dan blikk AS</t>
  </si>
  <si>
    <t>25536 Østensjøveien 9</t>
  </si>
  <si>
    <t>Sameiet Kornmoenga</t>
  </si>
  <si>
    <t>25538 Kornmoenga</t>
  </si>
  <si>
    <t>Christian Gran</t>
  </si>
  <si>
    <t>Brumendal</t>
  </si>
  <si>
    <t>Jan Bremer Øvrebø</t>
  </si>
  <si>
    <t>1177 Oslo</t>
  </si>
  <si>
    <t>Jan Svendsen</t>
  </si>
  <si>
    <t>Frogner</t>
  </si>
  <si>
    <t>Matotalbygg AS</t>
  </si>
  <si>
    <t>kL</t>
  </si>
  <si>
    <t>Dybvig AS</t>
  </si>
  <si>
    <t>Vintebro</t>
  </si>
  <si>
    <t>MA Totalbygg as</t>
  </si>
  <si>
    <t>0788 Oslo</t>
  </si>
  <si>
    <t>Sinsenveien 15</t>
  </si>
  <si>
    <t>Konsmo fabrikker AS</t>
  </si>
  <si>
    <t>Hersleth Entreprenør</t>
  </si>
  <si>
    <t>,</t>
  </si>
  <si>
    <t>Sericeavtaler Straye tak 2025</t>
  </si>
  <si>
    <t>Adresse</t>
  </si>
  <si>
    <t>Avtale</t>
  </si>
  <si>
    <t>Dato</t>
  </si>
  <si>
    <t>Kontakt</t>
  </si>
  <si>
    <t>Mailadresse</t>
  </si>
  <si>
    <t xml:space="preserve">Tlf.nr </t>
  </si>
  <si>
    <t>Komentar</t>
  </si>
  <si>
    <t>mnd</t>
  </si>
  <si>
    <t>Årlig pris</t>
  </si>
  <si>
    <t>Akersgaten 45, 0158 Oslo</t>
  </si>
  <si>
    <t>Backegården DA (Malling &amp;co)</t>
  </si>
  <si>
    <t>Alan Gardi</t>
  </si>
  <si>
    <t>alan.gardi@malling.no</t>
  </si>
  <si>
    <t>924 94 725</t>
  </si>
  <si>
    <t>Juni</t>
  </si>
  <si>
    <t>Utført2025</t>
  </si>
  <si>
    <t>Bergrådveien 5 0873 Oslo</t>
  </si>
  <si>
    <t xml:space="preserve">Eierseksjonssameiet </t>
  </si>
  <si>
    <t>Elisabeth Febjør</t>
  </si>
  <si>
    <t>b5@styrerommet.no</t>
  </si>
  <si>
    <t>924 12 428</t>
  </si>
  <si>
    <t>august</t>
  </si>
  <si>
    <t xml:space="preserve">Bergrådveien 5 </t>
  </si>
  <si>
    <t>Avsluttet</t>
  </si>
  <si>
    <t>Frysjaveien 35 0884 Oslo</t>
  </si>
  <si>
    <t>Malling &amp; co</t>
  </si>
  <si>
    <t>Arild Sørensen</t>
  </si>
  <si>
    <t>arild.sorensen@mallingCO.NO</t>
  </si>
  <si>
    <t>488 90 316</t>
  </si>
  <si>
    <t>Ikke utført2025</t>
  </si>
  <si>
    <t>Haugerskolevei 50 1351 Rud</t>
  </si>
  <si>
    <t>Hauger park Boligsameie</t>
  </si>
  <si>
    <t>Thorleif Karlsen</t>
  </si>
  <si>
    <t>thorleifka@gmail.com</t>
  </si>
  <si>
    <t>470 25 028</t>
  </si>
  <si>
    <t>Heimansåsen 11 3470 Slemmestad</t>
  </si>
  <si>
    <t>Heimansåsen BRL</t>
  </si>
  <si>
    <t>Tor inge skoglund</t>
  </si>
  <si>
    <t>tor.inge.skoglund@ibis.no</t>
  </si>
  <si>
    <t xml:space="preserve">951 78 465 </t>
  </si>
  <si>
    <t>juli</t>
  </si>
  <si>
    <t>5-7-9-11</t>
  </si>
  <si>
    <t>Bygdøy Alle 92 a-b 0273 Oslo</t>
  </si>
  <si>
    <t>Sameiet Bygdøy alle 92</t>
  </si>
  <si>
    <t>Joakim de borda</t>
  </si>
  <si>
    <t>joakim.borda@gmail.com</t>
  </si>
  <si>
    <t xml:space="preserve">412 88 607  </t>
  </si>
  <si>
    <t>Kjørebokollen 19-29 1337 Sandvika</t>
  </si>
  <si>
    <t>Sameiet kjørbokollen 19.29</t>
  </si>
  <si>
    <t>Homan Randarzan</t>
  </si>
  <si>
    <t>randarzan@hotmail.com</t>
  </si>
  <si>
    <t xml:space="preserve">917 22 913 </t>
  </si>
  <si>
    <t>November</t>
  </si>
  <si>
    <t>Kirsten flagstads plass 1 0150 Oslo</t>
  </si>
  <si>
    <t>Statsbygg operan</t>
  </si>
  <si>
    <t>Aleksander Furulund</t>
  </si>
  <si>
    <t>aleksander.furulund.swedhs@statsbygg.no</t>
  </si>
  <si>
    <t xml:space="preserve">481 99 012 </t>
  </si>
  <si>
    <t>Sinsenveien 55 0585 Oslo</t>
  </si>
  <si>
    <t>Thormod skogstad</t>
  </si>
  <si>
    <t>Thormor Skogstad</t>
  </si>
  <si>
    <t>thormod.skogstad@gmail.com</t>
  </si>
  <si>
    <t>906 91 185</t>
  </si>
  <si>
    <t>Hvalsodden 29 1394 Nesbru</t>
  </si>
  <si>
    <t>Støperiveien 5 2010 Strømmen</t>
  </si>
  <si>
    <t>Vats AS</t>
  </si>
  <si>
    <t>Ole Herredsvela</t>
  </si>
  <si>
    <t>ole.herredsvela@strommenstorsenter.no</t>
  </si>
  <si>
    <t>909 51 051</t>
  </si>
  <si>
    <t>Inga Bjørnsonsvei 78 0669 Oslo</t>
  </si>
  <si>
    <t>Vestliterrassen boligsamei</t>
  </si>
  <si>
    <t>Mai H Gidske</t>
  </si>
  <si>
    <t>maihe@online.no</t>
  </si>
  <si>
    <t>959 36 450</t>
  </si>
  <si>
    <t>Masteveien 6 1481 Hagan</t>
  </si>
  <si>
    <t>Ga-meknett</t>
  </si>
  <si>
    <t>Arild Willersrud</t>
  </si>
  <si>
    <t>arild@gassarmatur.no</t>
  </si>
  <si>
    <t>415 08 815</t>
  </si>
  <si>
    <t>Otto ruges vei 81 1332 Østerås</t>
  </si>
  <si>
    <t>Østeråsboliger 1</t>
  </si>
  <si>
    <t>Pål Fritzon</t>
  </si>
  <si>
    <t>pal@fritzon.as</t>
  </si>
  <si>
    <t>916 33 130</t>
  </si>
  <si>
    <t>Tidemansgate 28 Oslo</t>
  </si>
  <si>
    <t>Tidemansgate 28a-b</t>
  </si>
  <si>
    <t>Henning Stene</t>
  </si>
  <si>
    <t>henning@stene.as</t>
  </si>
  <si>
    <t xml:space="preserve">922 57 900 </t>
  </si>
  <si>
    <t>Strømsveien 93 Strømmen</t>
  </si>
  <si>
    <t>Strømmen terrasse sameiet</t>
  </si>
  <si>
    <t>02.08.0222</t>
  </si>
  <si>
    <t>Arild Ingebretsen</t>
  </si>
  <si>
    <t>ai@washify.no</t>
  </si>
  <si>
    <t>908 84 000</t>
  </si>
  <si>
    <t>Kittel-nilsensvei 59</t>
  </si>
  <si>
    <t>Sameiet kittel nielsensvei 59</t>
  </si>
  <si>
    <t>Terje Overgård</t>
  </si>
  <si>
    <t>tovergaa@online.no</t>
  </si>
  <si>
    <t>907 87 905</t>
  </si>
  <si>
    <t>Annen hver år</t>
  </si>
  <si>
    <t>Pareliusveien 2-4</t>
  </si>
  <si>
    <t>Per Berntzen</t>
  </si>
  <si>
    <t>barbros1@getmail.no</t>
  </si>
  <si>
    <t xml:space="preserve">924 54 400 </t>
  </si>
  <si>
    <t>Ny styreleder</t>
  </si>
  <si>
    <t>Plogveien 22</t>
  </si>
  <si>
    <t>Oslobygg Kf</t>
  </si>
  <si>
    <t>Vebjærn Are Olsen</t>
  </si>
  <si>
    <t>vebjorn.olsen@obf.oslo.kommune.no</t>
  </si>
  <si>
    <t>Hellerudparken</t>
  </si>
  <si>
    <t>Styreleder</t>
  </si>
  <si>
    <t>hellerudparken@styrerommet.no</t>
  </si>
  <si>
    <t>932 04 447</t>
  </si>
  <si>
    <t>Møllergata 50-52</t>
  </si>
  <si>
    <t>Bjørn Grenager</t>
  </si>
  <si>
    <t>fredensborg1@styrerommet.no</t>
  </si>
  <si>
    <t xml:space="preserve">991 64 418 </t>
  </si>
  <si>
    <t xml:space="preserve">Vaktmester Rolf </t>
  </si>
  <si>
    <t>970 26 794</t>
  </si>
  <si>
    <t>Søndre skrenten</t>
  </si>
  <si>
    <t>Tale Kristin Skeidsvoll</t>
  </si>
  <si>
    <t>sondreskrenten3@styrerommet.no</t>
  </si>
  <si>
    <t>957 64 730</t>
  </si>
  <si>
    <t>Rådhusplass 333 1531 Moss</t>
  </si>
  <si>
    <t>Boligsameiet Rådhusplass</t>
  </si>
  <si>
    <t>27.04.20213</t>
  </si>
  <si>
    <t>Rune Finvold</t>
  </si>
  <si>
    <t>rune.finvold@fpc.no</t>
  </si>
  <si>
    <t>900 96 515</t>
  </si>
  <si>
    <t>Sameiet Nordengveien 2</t>
  </si>
  <si>
    <t>Nordengveien 2</t>
  </si>
  <si>
    <t>Sverre Haider</t>
  </si>
  <si>
    <t>shaider@online.no</t>
  </si>
  <si>
    <t>906 5 4711</t>
  </si>
  <si>
    <t>Annen vært år</t>
  </si>
  <si>
    <t>Rygge Seniortun Boligsameie</t>
  </si>
  <si>
    <t>Goenveien 4</t>
  </si>
  <si>
    <t>Ole H Devle</t>
  </si>
  <si>
    <t>ohdevle@online.no</t>
  </si>
  <si>
    <t>997 02 327</t>
  </si>
  <si>
    <t>Juli</t>
  </si>
  <si>
    <t>Rygge Seniorbo</t>
  </si>
  <si>
    <t>Goenveien 2</t>
  </si>
  <si>
    <t>Hans Tofterå</t>
  </si>
  <si>
    <t>hans2501@gmail.com</t>
  </si>
  <si>
    <t>951 41 301</t>
  </si>
  <si>
    <t>Oslo Kommune</t>
  </si>
  <si>
    <t>Trondheimsveien 233</t>
  </si>
  <si>
    <t>Stig Audun Motzfeldt</t>
  </si>
  <si>
    <t>stig.motzfeldt@obf.oslo.kommune.no</t>
  </si>
  <si>
    <t xml:space="preserve">402 00 132 </t>
  </si>
  <si>
    <t>Tirsdag 4 august 2026</t>
  </si>
  <si>
    <t>Ikea Furuset</t>
  </si>
  <si>
    <t>Strømsveien 303</t>
  </si>
  <si>
    <t>Anne Lene Hauer</t>
  </si>
  <si>
    <t>annelene.hauer@ingka.ikea.com</t>
  </si>
  <si>
    <t xml:space="preserve">911 39 904 </t>
  </si>
  <si>
    <t>Ikea furuset lager</t>
  </si>
  <si>
    <t xml:space="preserve">Gamle leirdalsvei 1 </t>
  </si>
  <si>
    <t>Nina Sjernesund</t>
  </si>
  <si>
    <t>nina.sjernesund@ingka.ikea.com</t>
  </si>
  <si>
    <t>941 41 692</t>
  </si>
  <si>
    <t>Ildjernåsen</t>
  </si>
  <si>
    <t>Richard Baches vei 8-10</t>
  </si>
  <si>
    <t>Finn Magne Spjelkavik</t>
  </si>
  <si>
    <t>ildjernasen@styrerommet.no</t>
  </si>
  <si>
    <t xml:space="preserve">928 08 155 </t>
  </si>
  <si>
    <t>Sannergata 14</t>
  </si>
  <si>
    <t>Valdresgata</t>
  </si>
  <si>
    <t>Borettslag</t>
  </si>
  <si>
    <t>Beate Muri</t>
  </si>
  <si>
    <t>styret@valdresgataborettslag.no</t>
  </si>
  <si>
    <t>905 04 804</t>
  </si>
  <si>
    <t>Refstadveien 32</t>
  </si>
  <si>
    <t>Panorama Sameie</t>
  </si>
  <si>
    <t>Dagfinn Bakke</t>
  </si>
  <si>
    <t>bjerkepanorama@gmail.com</t>
  </si>
  <si>
    <t>411 05 332</t>
  </si>
  <si>
    <t>Hoffsgrenda Borettslag</t>
  </si>
  <si>
    <t>Skøyen Terrasse 2- 29</t>
  </si>
  <si>
    <t>Vaktmester</t>
  </si>
  <si>
    <t>fredrikhogestol@gmail.com</t>
  </si>
  <si>
    <t>480 88 634</t>
  </si>
  <si>
    <t>Høst,vår</t>
  </si>
  <si>
    <t>2 ganger</t>
  </si>
  <si>
    <t>Starter 2026</t>
  </si>
  <si>
    <t xml:space="preserve">Hyllebærstien Borettslag </t>
  </si>
  <si>
    <t>Hyllebærstien 1405 Langhus</t>
  </si>
  <si>
    <t>Stig Lambertsen</t>
  </si>
  <si>
    <t>hyllebaerstienborettslag@mittusbl.no</t>
  </si>
  <si>
    <t>925 54 873</t>
  </si>
  <si>
    <t>Bjørnstadtunet 1</t>
  </si>
  <si>
    <t>Hovedtunet Boligsameie</t>
  </si>
  <si>
    <t>Svein Mathiesen</t>
  </si>
  <si>
    <t>svein@sveinmathiesen.no</t>
  </si>
  <si>
    <t>Låst sumi 3 år</t>
  </si>
  <si>
    <t>Mai</t>
  </si>
  <si>
    <t>Henrik Bekevold</t>
  </si>
  <si>
    <t>HBekkevold@fjellhaug.no</t>
  </si>
  <si>
    <t>Kornmoenga 28, 1413, TÅRNÅSEN</t>
  </si>
  <si>
    <t>Kornmoenga 3 sameiet</t>
  </si>
  <si>
    <t>Kari Dancke</t>
  </si>
  <si>
    <t>kornmoenga.sameie3@gmail.com</t>
  </si>
  <si>
    <t>913 28 074</t>
  </si>
  <si>
    <t>Oktober</t>
  </si>
  <si>
    <t>Grev Wedels plass 9</t>
  </si>
  <si>
    <t>Espen Hiorth</t>
  </si>
  <si>
    <t>espen.hiorth@newsec.no</t>
  </si>
  <si>
    <t>477 92 385</t>
  </si>
  <si>
    <t>q2</t>
  </si>
  <si>
    <t>Vestre vanemvei 52</t>
  </si>
  <si>
    <t>Posten Bring AS</t>
  </si>
  <si>
    <t>Petter Andersen</t>
  </si>
  <si>
    <t>petter.andersen@posten.no</t>
  </si>
  <si>
    <t>974 17 479</t>
  </si>
  <si>
    <t>Industriveien 27 D</t>
  </si>
  <si>
    <t>Ind.Veien 27 D AS</t>
  </si>
  <si>
    <t>Ebbe Nablo</t>
  </si>
  <si>
    <t>post@nablo.no</t>
  </si>
  <si>
    <t>404 07 393</t>
  </si>
  <si>
    <t>Billingstadlia 2 og 4</t>
  </si>
  <si>
    <t xml:space="preserve"> Billingstad Boligsameie II</t>
  </si>
  <si>
    <t>Per Erik Løkken</t>
  </si>
  <si>
    <t>pel@mam.no</t>
  </si>
  <si>
    <t>957 77 974</t>
  </si>
  <si>
    <t>Hektnerhagen 86 Rælingen</t>
  </si>
  <si>
    <t xml:space="preserve">Øyernblikk 2 </t>
  </si>
  <si>
    <t>Mauricio</t>
  </si>
  <si>
    <t>oyernblikk2@gmail.com</t>
  </si>
  <si>
    <t>973 08 888</t>
  </si>
  <si>
    <t>Sjekkliste</t>
  </si>
  <si>
    <t>Dagens dato</t>
  </si>
  <si>
    <t>AKTUELL UKE</t>
  </si>
  <si>
    <t>P. nr.</t>
  </si>
  <si>
    <t>Prosjektnavn</t>
  </si>
  <si>
    <t>Oppdragsgiver</t>
  </si>
  <si>
    <t>PL Stål</t>
  </si>
  <si>
    <t>Oppstart uke</t>
  </si>
  <si>
    <t>Handover levert</t>
  </si>
  <si>
    <t>Bekr./ kontrakt</t>
  </si>
  <si>
    <t>Erklært ansvarsrett</t>
  </si>
  <si>
    <t>Avkl. Løsning PIR/ MU</t>
  </si>
  <si>
    <t>Sluk plassering / isolering av sluk</t>
  </si>
  <si>
    <t>Isolering av innside gesims</t>
  </si>
  <si>
    <t>Beregnet festemidler</t>
  </si>
  <si>
    <t>Tegning/ prosj</t>
  </si>
  <si>
    <t>Best. Diffsperre</t>
  </si>
  <si>
    <t xml:space="preserve">Best. PIR
</t>
  </si>
  <si>
    <t xml:space="preserve">Best. MU
</t>
  </si>
  <si>
    <t xml:space="preserve">Best. Festemidler
</t>
  </si>
  <si>
    <t xml:space="preserve">Festem. PIR skinner, gesims
</t>
  </si>
  <si>
    <t xml:space="preserve">Best. Sluk
</t>
  </si>
  <si>
    <t xml:space="preserve">Bestilt PVC/ ATB
</t>
  </si>
  <si>
    <t xml:space="preserve">Bestilt sikring
</t>
  </si>
  <si>
    <t xml:space="preserve">Bestilt Permanent taksikring
</t>
  </si>
  <si>
    <t xml:space="preserve">Bestilt kran
</t>
  </si>
  <si>
    <t>KS</t>
  </si>
  <si>
    <t>FDV</t>
  </si>
  <si>
    <t>Overtakelse</t>
  </si>
  <si>
    <t>Ferdig hittil</t>
  </si>
  <si>
    <t>Andel ferdig</t>
  </si>
  <si>
    <t>Kommentarer</t>
  </si>
  <si>
    <t>Filterlinje</t>
  </si>
  <si>
    <t>Apilar</t>
  </si>
  <si>
    <t>Jan Fredrik</t>
  </si>
  <si>
    <t>IA</t>
  </si>
  <si>
    <t>Overta siste takoverbygg</t>
  </si>
  <si>
    <t>Aurevegen 2</t>
  </si>
  <si>
    <t>Tommy</t>
  </si>
  <si>
    <t>HUSK ISOLASJON I TRP VED KLIMAVEGG. Oppstart uke 8??. 4200 til PIR</t>
  </si>
  <si>
    <t>Ihlen Lager</t>
  </si>
  <si>
    <t>Frode</t>
  </si>
  <si>
    <t>Killingmo</t>
  </si>
  <si>
    <t>Kolbotn Tennishall</t>
  </si>
  <si>
    <t>Ordfører Utnes vei 51</t>
  </si>
  <si>
    <t>Holmskau Prosjekt</t>
  </si>
  <si>
    <t xml:space="preserve"> Røyklukker, 0 kr, inkl.</t>
  </si>
  <si>
    <t>Coop Ørebekk</t>
  </si>
  <si>
    <t>Jon S</t>
  </si>
  <si>
    <t>50% av MU</t>
  </si>
  <si>
    <t>Skjeberg Marinesenter</t>
  </si>
  <si>
    <t>Jon</t>
  </si>
  <si>
    <t>Dekkhotell Røyken</t>
  </si>
  <si>
    <t>Christian FL</t>
  </si>
  <si>
    <t>Asko Oslofjord</t>
  </si>
  <si>
    <t>Avtalt overtatt med Christian F L</t>
  </si>
  <si>
    <t>Stansefabrikken/ Bjørnstadgrenda</t>
  </si>
  <si>
    <t>KINGSPAN PIR grunnet EPD for Breeam,  1,5 mm foil</t>
  </si>
  <si>
    <t>Osloveien 624</t>
  </si>
  <si>
    <t>Geir N/ Jan Fredrik</t>
  </si>
  <si>
    <t>Møller Bil BT2</t>
  </si>
  <si>
    <t>Betonmast</t>
  </si>
  <si>
    <t>Posten Moss</t>
  </si>
  <si>
    <t>Salmir</t>
  </si>
  <si>
    <t>Ahlsell- Holmenga</t>
  </si>
  <si>
    <t>Bulk Wood</t>
  </si>
  <si>
    <t>Kingspan tre konstruksjon og TG</t>
  </si>
  <si>
    <t>Trondheimsveien 183- Vaskehall</t>
  </si>
  <si>
    <t>Rema1000 Ørebekk</t>
  </si>
  <si>
    <t>Tilbygg Coop Manstad</t>
  </si>
  <si>
    <t>Kvadratera</t>
  </si>
  <si>
    <t>Reolteknikk</t>
  </si>
  <si>
    <t>Lafinto</t>
  </si>
  <si>
    <t>Thaugland- Bjørnerudveien 16</t>
  </si>
  <si>
    <t xml:space="preserve">Asko Oslofjord Miljøstasjon  </t>
  </si>
  <si>
    <t>BAUDER grunnet asfalt, se premissdokument</t>
  </si>
  <si>
    <t>Myrveien Råde</t>
  </si>
  <si>
    <t>Hallingplast</t>
  </si>
  <si>
    <t>Straye Stålbygg ?</t>
  </si>
  <si>
    <t>Asian Food</t>
  </si>
  <si>
    <t>Christian</t>
  </si>
  <si>
    <t>Qmatec</t>
  </si>
  <si>
    <t>Vestre Vanemvei</t>
  </si>
  <si>
    <t xml:space="preserve">Neumann </t>
  </si>
  <si>
    <t>Gummiservice AS</t>
  </si>
  <si>
    <t>Atlas Gardermoen</t>
  </si>
  <si>
    <t>New Wave</t>
  </si>
  <si>
    <t xml:space="preserve">Straye Stålbygg </t>
  </si>
  <si>
    <t>Høstbakken 11</t>
  </si>
  <si>
    <t>Atracco Arendal</t>
  </si>
  <si>
    <t>Frode??</t>
  </si>
  <si>
    <t>25??</t>
  </si>
  <si>
    <t>Lagerseksjoner Moss+ Våler</t>
  </si>
  <si>
    <t>Kalnesbrekka</t>
  </si>
  <si>
    <t>Unil Rehab admin bygg</t>
  </si>
  <si>
    <t>Brennaveien 4</t>
  </si>
  <si>
    <t>Ali</t>
  </si>
  <si>
    <t>Loyds Eiendom- PAXTER</t>
  </si>
  <si>
    <t>Weland Lagerbygg</t>
  </si>
  <si>
    <t>Gardermoen Congress</t>
  </si>
  <si>
    <t>Starco Gardermoen</t>
  </si>
  <si>
    <t xml:space="preserve">Veidekke Logistikkbygg </t>
  </si>
  <si>
    <t>%</t>
  </si>
  <si>
    <t>Asko Ladestasjon kondenstekking</t>
  </si>
  <si>
    <t xml:space="preserve">Straye Stålbygg/ ASKO? </t>
  </si>
  <si>
    <t>Stamas</t>
  </si>
  <si>
    <t>Pet- Pack Drikke</t>
  </si>
  <si>
    <t>Mosseveien 104</t>
  </si>
  <si>
    <t>Lahaugmoen Z3</t>
  </si>
  <si>
    <t>Relog</t>
  </si>
  <si>
    <t>Killingmo Verksted</t>
  </si>
  <si>
    <t>Sraye Stålbygg AS</t>
  </si>
  <si>
    <t>Ovun Produksjonslokale</t>
  </si>
  <si>
    <t>Gneisveien 6</t>
  </si>
  <si>
    <t>Norsea Haliburton</t>
  </si>
  <si>
    <t>Bredmyra Tilbygg</t>
  </si>
  <si>
    <t>Loyds Eiendom AS</t>
  </si>
  <si>
    <t>P- hus Ålesund sykehus</t>
  </si>
  <si>
    <t>Veidekke Entreprenør AS</t>
  </si>
  <si>
    <t>Benteler B213</t>
  </si>
  <si>
    <t>Skolesenter Værnes</t>
  </si>
  <si>
    <t>Tindlund 61A</t>
  </si>
  <si>
    <t>Holmskau eiendom AS</t>
  </si>
  <si>
    <t>OBS Bygg Oppdal</t>
  </si>
  <si>
    <t>Kroken 4</t>
  </si>
  <si>
    <t>Enter Solution AS</t>
  </si>
  <si>
    <t>Posten Bring Bergen</t>
  </si>
  <si>
    <t>Kløftenveien 18B</t>
  </si>
  <si>
    <t>Byggkompaniet Østfold AS</t>
  </si>
  <si>
    <t>LFA Narvik</t>
  </si>
  <si>
    <t>Mosseveien 104 BT2</t>
  </si>
  <si>
    <t>Quist</t>
  </si>
  <si>
    <t>Sjømannsvegen 19</t>
  </si>
  <si>
    <t>Furuno</t>
  </si>
  <si>
    <t>Granittveien 2</t>
  </si>
  <si>
    <t>Burger King Rolvsøy</t>
  </si>
  <si>
    <t>Gjermund</t>
  </si>
  <si>
    <t>Sintef Tillerbuvegen</t>
  </si>
  <si>
    <t>Årevollskogen 99</t>
  </si>
  <si>
    <t>Gamle Hobølvei</t>
  </si>
  <si>
    <t>Dive in 2.0</t>
  </si>
  <si>
    <t>Bjarg Arena</t>
  </si>
  <si>
    <t>Bane NOR</t>
  </si>
  <si>
    <t>Asko Oslofjord Fryselager</t>
  </si>
  <si>
    <t>Hjelsett</t>
  </si>
  <si>
    <t>Jotun</t>
  </si>
  <si>
    <t>Solgaard Skog 60</t>
  </si>
  <si>
    <t>Tilbygg Hurrødhallen</t>
  </si>
  <si>
    <t>Qvist</t>
  </si>
  <si>
    <t>Lagerseksjoner Råbekken</t>
  </si>
  <si>
    <t>Oslo Fryselager</t>
  </si>
  <si>
    <t xml:space="preserve">Stabburveien 6 </t>
  </si>
  <si>
    <t>Kjellingsmovegen</t>
  </si>
  <si>
    <t>Grenstøl Tvedestrand</t>
  </si>
  <si>
    <t>Hjelseth</t>
  </si>
  <si>
    <t>Antall prosjekter</t>
  </si>
  <si>
    <t>Antall aktive prosjekter</t>
  </si>
  <si>
    <t>Antal ferdigstilte prosjekter</t>
  </si>
  <si>
    <t>Areal midtfelt</t>
  </si>
  <si>
    <t>Antall ruller</t>
  </si>
  <si>
    <t>Skruer PIR</t>
  </si>
  <si>
    <t>stk</t>
  </si>
  <si>
    <t>Skruer /m²</t>
  </si>
  <si>
    <t>Tak 1-3</t>
  </si>
  <si>
    <t>Ihlen lager</t>
  </si>
  <si>
    <t>Best</t>
  </si>
  <si>
    <t>Areal</t>
  </si>
  <si>
    <t>Ant. Skruer</t>
  </si>
  <si>
    <t>Skiver PIR</t>
  </si>
  <si>
    <t>Skruer list</t>
  </si>
  <si>
    <t>Messa</t>
  </si>
  <si>
    <t>Pr. meter</t>
  </si>
  <si>
    <t>0,18 MU gjennomgående</t>
  </si>
  <si>
    <t>Antal m</t>
  </si>
  <si>
    <t>Antall skruer</t>
  </si>
  <si>
    <t>Skruer REIM isol</t>
  </si>
  <si>
    <t>Skive gesimsisol</t>
  </si>
  <si>
    <t>Januar</t>
  </si>
  <si>
    <t>Andel</t>
  </si>
  <si>
    <t>Beløp</t>
  </si>
  <si>
    <t>2. Michal Pastor</t>
  </si>
  <si>
    <t>BAS</t>
  </si>
  <si>
    <t>14. Grzegorz Legutko</t>
  </si>
  <si>
    <t>OM</t>
  </si>
  <si>
    <t>27. Pawel Ulikowski</t>
  </si>
  <si>
    <t>23014 Ahlsell Eidsvoll</t>
  </si>
  <si>
    <t>15. Marek Legutko</t>
  </si>
  <si>
    <t>26. Konrad Legutko</t>
  </si>
  <si>
    <t>34. Julia Ulikowska</t>
  </si>
  <si>
    <t>35. Patryk Janik</t>
  </si>
  <si>
    <t>23005 Posten moss -02 EM 2 Tekking skjermtak</t>
  </si>
  <si>
    <t>33. Dariusz Nowakowski</t>
  </si>
  <si>
    <t>30. Damian Nowaczyk</t>
  </si>
  <si>
    <t>29. Adam Grygorcewicz</t>
  </si>
  <si>
    <t>DEL 1</t>
  </si>
  <si>
    <t>28.10-01.12</t>
  </si>
  <si>
    <t>19. Kacper Modrzejewski</t>
  </si>
  <si>
    <t>XY. Straye Tak</t>
  </si>
  <si>
    <t xml:space="preserve">                       -  </t>
  </si>
  <si>
    <t xml:space="preserve">Bonus for god jobb </t>
  </si>
  <si>
    <t>24125 Killingmo verksted</t>
  </si>
  <si>
    <t xml:space="preserve">14. Grzegorz Legutko </t>
  </si>
  <si>
    <t>23101 Lagerseksjoner Moss &amp; Våler B6</t>
  </si>
  <si>
    <t>Mars</t>
  </si>
  <si>
    <t>(rettet prosjekt)</t>
  </si>
  <si>
    <t xml:space="preserve">Ikke utbetalt i Januar. Legges til Mars lønnen. </t>
  </si>
  <si>
    <t>23101 Lagerseksjoner Moss &amp; Våler B7</t>
  </si>
  <si>
    <t>24047 Asko Ladestasjon</t>
  </si>
  <si>
    <t>4. Daniel Karolczak</t>
  </si>
  <si>
    <t>22. Grzegorz Wawrzeniec</t>
  </si>
  <si>
    <t>April</t>
  </si>
  <si>
    <t xml:space="preserve">23005 Posten Moss </t>
  </si>
  <si>
    <t>Dawid Duda Hybridbygg utbetales</t>
  </si>
  <si>
    <t xml:space="preserve">del 7 </t>
  </si>
  <si>
    <t>del 7</t>
  </si>
  <si>
    <t>31. Krzysztof Wojtas</t>
  </si>
  <si>
    <t>36. Artur Brzuzy</t>
  </si>
  <si>
    <t>Dawid Duda Hybridbygg utbetalse</t>
  </si>
  <si>
    <t>24128 Ovun Produksjonslager</t>
  </si>
  <si>
    <t>37.Mariusz Wyszymierski</t>
  </si>
  <si>
    <t>36.Artur Brzuzy</t>
  </si>
  <si>
    <t>31. Krzystof Wojtas</t>
  </si>
  <si>
    <t>June</t>
  </si>
  <si>
    <t>24124 Gneisveien 6 Bygg 1</t>
  </si>
  <si>
    <t xml:space="preserve">	
24035 Gardermoen Congress</t>
  </si>
  <si>
    <t>ny del</t>
  </si>
  <si>
    <t>41. Irmantas Cepulis</t>
  </si>
  <si>
    <t>40. David Terøy</t>
  </si>
  <si>
    <t>July</t>
  </si>
  <si>
    <t xml:space="preserve">P-Hus Ålesund </t>
  </si>
  <si>
    <t>Wichrowski sagt opp sin stilling</t>
  </si>
  <si>
    <t>24145 Benteler Raufoss</t>
  </si>
  <si>
    <t>del 1</t>
  </si>
  <si>
    <t>kr/time</t>
  </si>
  <si>
    <t>42. Mateusz Jakubowski</t>
  </si>
  <si>
    <t>del 2</t>
  </si>
  <si>
    <t>43. Dominik Chwastek</t>
  </si>
  <si>
    <t>33. Arthur Brzuzy</t>
  </si>
  <si>
    <t>34.Patryk Janik</t>
  </si>
  <si>
    <t xml:space="preserve">	24131 Norse Halliburton</t>
  </si>
  <si>
    <t>bygg 1</t>
  </si>
  <si>
    <t>Oktober (lagt i CW for test, bør kontrolleres ikke legges 2 ganger)</t>
  </si>
  <si>
    <t>24062 Lahaugmoen</t>
  </si>
  <si>
    <t>25048 LFA Narvik Bygg 1</t>
  </si>
  <si>
    <t>25048 LFA Narvik Bygg 2</t>
  </si>
  <si>
    <t>JANUAR</t>
  </si>
  <si>
    <t>23043 Rema1000 Ørebekk</t>
  </si>
  <si>
    <t>6. Sebastian Roszuk</t>
  </si>
  <si>
    <t>20. Jakub Narloch</t>
  </si>
  <si>
    <t>23. Grzegorz Cwiklak</t>
  </si>
  <si>
    <t>om</t>
  </si>
  <si>
    <t>16. Krzysztof Legutko</t>
  </si>
  <si>
    <t>17. Krystian Wichrowski</t>
  </si>
  <si>
    <t>BASS</t>
  </si>
  <si>
    <t>25. Konrad Wichrowski</t>
  </si>
  <si>
    <t>FEBRUAR</t>
  </si>
  <si>
    <t>23068 Thaugland Bjørnerudveien 16</t>
  </si>
  <si>
    <t>-</t>
  </si>
  <si>
    <t>23101 Lagerseksjoner Moss &amp; Våler bygg 1</t>
  </si>
  <si>
    <t>bass</t>
  </si>
  <si>
    <t>23101 Lagerseksjoner Moss &amp; Våler bygg 2</t>
  </si>
  <si>
    <t>BASS/2</t>
  </si>
  <si>
    <t>MARS</t>
  </si>
  <si>
    <t>23101 Lagerseksjoner Moss &amp; Våler B3</t>
  </si>
  <si>
    <t>32. Krzysztof Sankowski</t>
  </si>
  <si>
    <t>APRIL</t>
  </si>
  <si>
    <t>24006 UNIL Adminbygg</t>
  </si>
  <si>
    <t>23042 Hallingplast trafo</t>
  </si>
  <si>
    <t>22015 Coop Obs Ørebekk</t>
  </si>
  <si>
    <t>99. Straye Tak AS</t>
  </si>
  <si>
    <t>avskjed</t>
  </si>
  <si>
    <t>MAI</t>
  </si>
  <si>
    <t>Akkord SW</t>
  </si>
  <si>
    <t>Akkord kr pr mann ved 2 mann</t>
  </si>
  <si>
    <t>14. Grzegorz Legutko uke 21</t>
  </si>
  <si>
    <t>24077 Ahlsell 202325</t>
  </si>
  <si>
    <t>Paneler</t>
  </si>
  <si>
    <t>Bonus</t>
  </si>
  <si>
    <t>Sum inkl. AGA FP</t>
  </si>
  <si>
    <t>AGA</t>
  </si>
  <si>
    <t>Etter dette blir det 300kr pr 5 elementer i tillegg på akkorden</t>
  </si>
  <si>
    <t>Feriepenger</t>
  </si>
  <si>
    <t>Sandwich må være ferdig skrudd, søylepakning, skummet, tapet og fuget iht montasjetegninger</t>
  </si>
  <si>
    <t>Totalt</t>
  </si>
  <si>
    <t>14. Grzegorz Legutko uke 22</t>
  </si>
  <si>
    <t>23036 Myrveien</t>
  </si>
  <si>
    <t>4 Daniel Karolczak uke 24</t>
  </si>
  <si>
    <t>uke 25</t>
  </si>
  <si>
    <t>Ansatt</t>
  </si>
  <si>
    <t>AGA FP</t>
  </si>
  <si>
    <t>16 Krzysztof Legutko</t>
  </si>
  <si>
    <t>25 Konrad Wichrowski</t>
  </si>
  <si>
    <t>31 Krzysztof Wojtas</t>
  </si>
  <si>
    <t>uke 26 og gamle</t>
  </si>
  <si>
    <t>SUM</t>
  </si>
  <si>
    <t>32 Krzysztof Sankowski</t>
  </si>
  <si>
    <t>20 Jakub Narchol</t>
  </si>
  <si>
    <t>4 Daniel Karolczak</t>
  </si>
  <si>
    <t>33. Krzysztof Sankowski</t>
  </si>
  <si>
    <t>4.Daniel Karolczak</t>
  </si>
  <si>
    <t>uke 24  glemt</t>
  </si>
  <si>
    <t>22 Grzegorz Wawrzeniec</t>
  </si>
  <si>
    <t xml:space="preserve">Hybridbygg </t>
  </si>
  <si>
    <t>Dawid Duda</t>
  </si>
  <si>
    <t>Miroslaw Sulka</t>
  </si>
  <si>
    <t>AGA FP 24,3%</t>
  </si>
  <si>
    <t>Slawomir Haldas</t>
  </si>
  <si>
    <t>29 Adam Grygorcewicz</t>
  </si>
  <si>
    <t>30. Damian Nowaczyk</t>
  </si>
  <si>
    <t>bas</t>
  </si>
  <si>
    <t xml:space="preserve">Husk forskudd Konrad. </t>
  </si>
  <si>
    <t>OK</t>
  </si>
  <si>
    <t>23072 Vestre Vanemvei</t>
  </si>
  <si>
    <t>del 4</t>
  </si>
  <si>
    <t>23073 Vestre Vanemvei</t>
  </si>
  <si>
    <t>23080 Neumann</t>
  </si>
  <si>
    <t xml:space="preserve">23005  Posten </t>
  </si>
  <si>
    <t>23101 Lagerseksjoner Moss &amp; Våler B4</t>
  </si>
  <si>
    <t>del 5</t>
  </si>
  <si>
    <t>del 6 a</t>
  </si>
  <si>
    <t>Desember</t>
  </si>
  <si>
    <t>Rekrutering av Dariusz</t>
  </si>
  <si>
    <t>Adam</t>
  </si>
  <si>
    <t>Damian</t>
  </si>
  <si>
    <t>del 6 b</t>
  </si>
  <si>
    <t>b5</t>
  </si>
  <si>
    <t>23101 Lagerseksjoner Moss &amp; Våler B5</t>
  </si>
  <si>
    <t>November 2023</t>
  </si>
  <si>
    <t>23016 Stansefabrik</t>
  </si>
  <si>
    <t>PROSJEKTPLAN</t>
  </si>
  <si>
    <t>Akk dagsverk</t>
  </si>
  <si>
    <t>Timer pr dag</t>
  </si>
  <si>
    <t>Akkumulert</t>
  </si>
  <si>
    <t>Dager pr uke</t>
  </si>
  <si>
    <t>Over/ under kapasitet</t>
  </si>
  <si>
    <t>Kapasitet timer</t>
  </si>
  <si>
    <t xml:space="preserve">Belastning </t>
  </si>
  <si>
    <t>PL</t>
  </si>
  <si>
    <t>Kalk timer</t>
  </si>
  <si>
    <t>Start uke</t>
  </si>
  <si>
    <t>Slutt uke</t>
  </si>
  <si>
    <t xml:space="preserve">Planlagt </t>
  </si>
  <si>
    <t>Overført neste år</t>
  </si>
  <si>
    <t>Kontroll</t>
  </si>
  <si>
    <t>1-2022</t>
  </si>
  <si>
    <t>2-2022</t>
  </si>
  <si>
    <t>3-2022</t>
  </si>
  <si>
    <t>4-2022</t>
  </si>
  <si>
    <t>5-2022</t>
  </si>
  <si>
    <t>6-2022</t>
  </si>
  <si>
    <t>7-2022</t>
  </si>
  <si>
    <t>8-2022</t>
  </si>
  <si>
    <t>9-2022</t>
  </si>
  <si>
    <t>10-2022</t>
  </si>
  <si>
    <t>JFS</t>
  </si>
  <si>
    <t>TA</t>
  </si>
  <si>
    <t>FE</t>
  </si>
  <si>
    <t>Kolboten Tennishall Sofiemyr Tennishall</t>
  </si>
  <si>
    <t>Entreprenør</t>
  </si>
  <si>
    <t>Coop Ørebekk Obs bygg</t>
  </si>
  <si>
    <t>Christian K</t>
  </si>
  <si>
    <t>CFL</t>
  </si>
  <si>
    <t>Christian F</t>
  </si>
  <si>
    <t>Stansefabrikken</t>
  </si>
  <si>
    <t>Jan</t>
  </si>
  <si>
    <t>Var 880t</t>
  </si>
  <si>
    <t>D100</t>
  </si>
  <si>
    <t>D200</t>
  </si>
  <si>
    <t>Myrveien</t>
  </si>
  <si>
    <t>?</t>
  </si>
  <si>
    <t>50?</t>
  </si>
  <si>
    <t>Fri?`?</t>
  </si>
  <si>
    <t>17. mai ++</t>
  </si>
  <si>
    <t>Bemanning</t>
  </si>
  <si>
    <t>Brutto kapasitet m/ korr sykefravær</t>
  </si>
  <si>
    <t>Netto kapasitet Timer</t>
  </si>
  <si>
    <t>Netto kapasitet DAGSVERK</t>
  </si>
  <si>
    <t>Ansatt nr</t>
  </si>
  <si>
    <t>Uke nr</t>
  </si>
  <si>
    <t>1-24</t>
  </si>
  <si>
    <t>2-24</t>
  </si>
  <si>
    <t>3-24</t>
  </si>
  <si>
    <t>4-24</t>
  </si>
  <si>
    <t>5-24</t>
  </si>
  <si>
    <t>6-24</t>
  </si>
  <si>
    <t>7-24</t>
  </si>
  <si>
    <t>8-24</t>
  </si>
  <si>
    <t>9-24</t>
  </si>
  <si>
    <t>10-24</t>
  </si>
  <si>
    <t>Navn\  Antall arbeidsdager</t>
  </si>
  <si>
    <t>Mikal</t>
  </si>
  <si>
    <t>Sebastian</t>
  </si>
  <si>
    <t>Maciej Franczek</t>
  </si>
  <si>
    <t>Daniel Karolczak</t>
  </si>
  <si>
    <t>Jakub Narloch</t>
  </si>
  <si>
    <t>Kacper Modrzejewski</t>
  </si>
  <si>
    <t>Mateusz</t>
  </si>
  <si>
    <t>Dawid</t>
  </si>
  <si>
    <t>Grzegorsz</t>
  </si>
  <si>
    <t>Grzegorz</t>
  </si>
  <si>
    <t>G1</t>
  </si>
  <si>
    <t>G2</t>
  </si>
  <si>
    <t>G3</t>
  </si>
  <si>
    <t>G4</t>
  </si>
  <si>
    <t>A</t>
  </si>
  <si>
    <t>Innleie 1</t>
  </si>
  <si>
    <t>B</t>
  </si>
  <si>
    <t>Innleie 2</t>
  </si>
  <si>
    <t>C</t>
  </si>
  <si>
    <t>Innleie 3</t>
  </si>
  <si>
    <t>D</t>
  </si>
  <si>
    <t>Innleie 4</t>
  </si>
  <si>
    <t>LEIEMONTØRER (Antall mann)</t>
  </si>
  <si>
    <t>Påske</t>
  </si>
  <si>
    <t xml:space="preserve">Timetall uke </t>
  </si>
  <si>
    <t>Forespørsler</t>
  </si>
  <si>
    <t>Mottatt</t>
  </si>
  <si>
    <t>Forventet         oppstart</t>
  </si>
  <si>
    <t>Tilbudsfrist</t>
  </si>
  <si>
    <t>Beskrivelse</t>
  </si>
  <si>
    <t xml:space="preserve">Ant. Ubesv. Forespørsler. </t>
  </si>
  <si>
    <t>Vunnet, har ikke Bemaning, jobben utgård  til annet firma</t>
  </si>
  <si>
    <t>25163 Megaflis Sandmoen</t>
  </si>
  <si>
    <t>25526 Østbyhagen</t>
  </si>
  <si>
    <t>25525 Steinhammerveien 28</t>
  </si>
  <si>
    <t>25527 Sinsenveien 15</t>
  </si>
  <si>
    <t>25524 Løvetannlia Mysen</t>
  </si>
  <si>
    <t xml:space="preserve">25531 Lærer Larsens vei 2 </t>
  </si>
  <si>
    <t>25514 Lillevannsveien 72</t>
  </si>
  <si>
    <t>25521 Kjærnesveien 67</t>
  </si>
  <si>
    <t>25520 Holmenveien 37</t>
  </si>
  <si>
    <t>2550014 Hesthagan 21 2016 Frogner</t>
  </si>
  <si>
    <t>25500 Framveien 17 1177 Oslo</t>
  </si>
  <si>
    <t>Betonmast Trøndelag</t>
  </si>
  <si>
    <t>2550025 Brønnerødtoppen 4</t>
  </si>
  <si>
    <t>2550026 Brønnerødtoppen 19</t>
  </si>
  <si>
    <t>25540 Brynsveien 18E</t>
  </si>
  <si>
    <t>25506 Bjørkliveien 27</t>
  </si>
  <si>
    <t>25133 Hadsel Flerbrukshall</t>
  </si>
  <si>
    <t>Lofoten</t>
  </si>
  <si>
    <t>Newsec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</si>
</sst>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#,##0_ ;[Red]\-#,##0\ "/>
    <numFmt numFmtId="166" formatCode="_-* #,##0_-;\-* #,##0_-;_-* &quot;-&quot;??_-;_-@_-"/>
    <numFmt numFmtId="167" formatCode="0.0"/>
    <numFmt numFmtId="168" formatCode="0.0\ %"/>
    <numFmt numFmtId="169" formatCode="&quot;kr&quot;\ #,##0.0;\-&quot;kr&quot;\ #,##0.0"/>
    <numFmt numFmtId="170" formatCode="#,##0_ ;\-#,##0\ "/>
    <numFmt numFmtId="171" formatCode="_-* #,##0.0_-;\-* #,##0.0_-;_-* &quot;-&quot;??_-;_-@_-"/>
    <numFmt numFmtId="172" formatCode="_-* #,##0.000_-;\-* #,##0.000_-;_-* &quot;-&quot;??_-;_-@_-"/>
    <numFmt numFmtId="173" formatCode="_-* #,##0.0_-;\-* #,##0.0_-;_-* &quot;-&quot;?_-;_-@_-"/>
    <numFmt numFmtId="174" formatCode="_-* #,##0_-;\-* #,##0_-;_-* &quot;-&quot;?_-;_-@_-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5"/>
      <name val="Arial"/>
      <family val="2"/>
    </font>
    <font>
      <b/>
      <sz val="12"/>
      <name val="Arial"/>
      <family val="2"/>
    </font>
    <font>
      <sz val="2"/>
      <name val="Arial"/>
      <family val="2"/>
    </font>
    <font>
      <i/>
      <sz val="11"/>
      <color rgb="FF7F7F7F"/>
      <name val="Calibri"/>
      <family val="2"/>
      <scheme val="minor"/>
    </font>
    <font>
      <i/>
      <sz val="6"/>
      <color rgb="FF7F7F7F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2"/>
      <color theme="0"/>
      <name val="Arial"/>
      <family val="2"/>
    </font>
    <font>
      <b/>
      <sz val="25"/>
      <color theme="0"/>
      <name val="Arial"/>
      <family val="2"/>
    </font>
    <font>
      <b/>
      <sz val="25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0"/>
      <name val="Arial"/>
      <family val="2"/>
    </font>
    <font>
      <i/>
      <sz val="10"/>
      <color theme="0"/>
      <name val="Calibri"/>
      <family val="2"/>
      <scheme val="minor"/>
    </font>
    <font>
      <sz val="11"/>
      <name val="Arial"/>
      <family val="2"/>
    </font>
    <font>
      <b/>
      <sz val="11"/>
      <color indexed="8"/>
      <name val="Calibri"/>
      <family val="2"/>
    </font>
    <font>
      <b/>
      <sz val="25"/>
      <color theme="1" tint="0.249977111117893"/>
      <name val="Arial"/>
      <family val="2"/>
    </font>
    <font>
      <sz val="12"/>
      <color theme="1" tint="0.249977111117893"/>
      <name val="Arial"/>
      <family val="2"/>
    </font>
    <font>
      <sz val="8"/>
      <color theme="1"/>
      <name val="Arial"/>
      <family val="2"/>
    </font>
    <font>
      <sz val="10"/>
      <color theme="0" tint="-0.249977111117893"/>
      <name val="Calibri"/>
      <family val="2"/>
      <scheme val="minor"/>
    </font>
    <font>
      <b/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8"/>
      <color theme="0"/>
      <name val="Calibri"/>
      <family val="2"/>
      <scheme val="minor"/>
    </font>
    <font>
      <sz val="11"/>
      <color rgb="FF000000"/>
      <name val="Calibri"/>
      <family val="2"/>
    </font>
    <font>
      <sz val="12"/>
      <color rgb="FF2E384D"/>
      <name val="Rubik"/>
    </font>
    <font>
      <b/>
      <sz val="12"/>
      <color rgb="FF2E384D"/>
      <name val="Calibri Light"/>
      <family val="2"/>
      <scheme val="maj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E384D"/>
      <name val="Arial"/>
      <family val="2"/>
    </font>
    <font>
      <sz val="11"/>
      <color theme="1"/>
      <name val="Aharoni"/>
      <charset val="177"/>
    </font>
    <font>
      <u/>
      <sz val="11"/>
      <color theme="10"/>
      <name val="Calibri"/>
      <family val="2"/>
      <scheme val="minor"/>
    </font>
    <font>
      <sz val="10"/>
      <color rgb="FF00B0F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rgb="FF66CCFF"/>
      <name val="Calibri"/>
      <family val="2"/>
      <scheme val="minor"/>
    </font>
    <font>
      <sz val="11"/>
      <color theme="4"/>
      <name val="Calibri"/>
      <family val="2"/>
      <scheme val="minor"/>
    </font>
    <font>
      <sz val="10"/>
      <color rgb="FF666F89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  <fill>
      <gradientFill degree="90">
        <stop position="0">
          <color theme="0"/>
        </stop>
        <stop position="1">
          <color rgb="FF66FF33"/>
        </stop>
      </gradient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330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3">
    <xf numFmtId="0" fontId="0" fillId="0" borderId="0"/>
    <xf numFmtId="0" fontId="1" fillId="0" borderId="0"/>
    <xf numFmtId="0" fontId="2" fillId="0" borderId="0"/>
    <xf numFmtId="164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</cellStyleXfs>
  <cellXfs count="630">
    <xf numFmtId="0" fontId="0" fillId="0" borderId="0" xfId="0"/>
    <xf numFmtId="0" fontId="3" fillId="0" borderId="0" xfId="2" applyFont="1" applyAlignment="1">
      <alignment horizontal="center" vertical="center"/>
    </xf>
    <xf numFmtId="0" fontId="3" fillId="0" borderId="0" xfId="2" applyFont="1"/>
    <xf numFmtId="0" fontId="4" fillId="0" borderId="0" xfId="2" applyFont="1"/>
    <xf numFmtId="0" fontId="5" fillId="0" borderId="19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6" fillId="0" borderId="12" xfId="2" applyFont="1" applyBorder="1" applyAlignment="1">
      <alignment horizontal="left" vertical="center"/>
    </xf>
    <xf numFmtId="0" fontId="6" fillId="0" borderId="1" xfId="2" applyFont="1" applyBorder="1" applyAlignment="1">
      <alignment horizontal="left" vertical="center"/>
    </xf>
    <xf numFmtId="0" fontId="6" fillId="0" borderId="1" xfId="2" applyFont="1" applyBorder="1" applyAlignment="1">
      <alignment horizontal="left"/>
    </xf>
    <xf numFmtId="0" fontId="4" fillId="0" borderId="0" xfId="2" applyFont="1" applyAlignment="1">
      <alignment horizontal="left"/>
    </xf>
    <xf numFmtId="1" fontId="4" fillId="0" borderId="0" xfId="2" applyNumberFormat="1" applyFont="1"/>
    <xf numFmtId="0" fontId="4" fillId="0" borderId="0" xfId="2" applyFont="1" applyAlignment="1">
      <alignment horizontal="center"/>
    </xf>
    <xf numFmtId="0" fontId="4" fillId="0" borderId="0" xfId="2" applyFont="1" applyAlignment="1">
      <alignment vertical="center"/>
    </xf>
    <xf numFmtId="165" fontId="4" fillId="0" borderId="1" xfId="2" applyNumberFormat="1" applyFont="1" applyBorder="1" applyAlignment="1">
      <alignment horizontal="right" vertical="center"/>
    </xf>
    <xf numFmtId="165" fontId="4" fillId="0" borderId="0" xfId="2" applyNumberFormat="1" applyFont="1" applyAlignment="1">
      <alignment vertical="center"/>
    </xf>
    <xf numFmtId="0" fontId="12" fillId="8" borderId="17" xfId="2" applyFont="1" applyFill="1" applyBorder="1" applyAlignment="1">
      <alignment horizontal="left" vertical="center"/>
    </xf>
    <xf numFmtId="0" fontId="12" fillId="8" borderId="18" xfId="2" applyFont="1" applyFill="1" applyBorder="1" applyAlignment="1">
      <alignment horizontal="center" vertical="center"/>
    </xf>
    <xf numFmtId="0" fontId="12" fillId="10" borderId="24" xfId="2" applyFont="1" applyFill="1" applyBorder="1" applyAlignment="1">
      <alignment horizontal="center" vertical="center" wrapText="1"/>
    </xf>
    <xf numFmtId="0" fontId="12" fillId="11" borderId="15" xfId="2" applyFont="1" applyFill="1" applyBorder="1" applyAlignment="1">
      <alignment horizontal="center" vertical="center"/>
    </xf>
    <xf numFmtId="0" fontId="4" fillId="0" borderId="31" xfId="2" applyFont="1" applyBorder="1" applyAlignment="1">
      <alignment horizontal="left"/>
    </xf>
    <xf numFmtId="0" fontId="4" fillId="0" borderId="6" xfId="2" applyFont="1" applyBorder="1" applyAlignment="1">
      <alignment horizontal="left"/>
    </xf>
    <xf numFmtId="0" fontId="4" fillId="0" borderId="30" xfId="2" applyFont="1" applyBorder="1" applyAlignment="1">
      <alignment horizontal="center"/>
    </xf>
    <xf numFmtId="0" fontId="4" fillId="0" borderId="31" xfId="2" applyFont="1" applyBorder="1" applyAlignment="1">
      <alignment horizontal="center"/>
    </xf>
    <xf numFmtId="1" fontId="4" fillId="0" borderId="6" xfId="2" applyNumberFormat="1" applyFont="1" applyBorder="1" applyAlignment="1">
      <alignment horizontal="center"/>
    </xf>
    <xf numFmtId="1" fontId="4" fillId="0" borderId="30" xfId="2" applyNumberFormat="1" applyFont="1" applyBorder="1" applyAlignment="1">
      <alignment horizontal="center"/>
    </xf>
    <xf numFmtId="1" fontId="4" fillId="0" borderId="1" xfId="2" applyNumberFormat="1" applyFont="1" applyBorder="1" applyAlignment="1" applyProtection="1">
      <alignment horizontal="center"/>
      <protection locked="0"/>
    </xf>
    <xf numFmtId="3" fontId="4" fillId="0" borderId="8" xfId="2" applyNumberFormat="1" applyFont="1" applyBorder="1" applyAlignment="1" applyProtection="1">
      <alignment horizontal="center" vertical="center"/>
      <protection locked="0"/>
    </xf>
    <xf numFmtId="1" fontId="4" fillId="0" borderId="7" xfId="2" applyNumberFormat="1" applyFont="1" applyBorder="1" applyAlignment="1" applyProtection="1">
      <alignment horizontal="center"/>
      <protection locked="0"/>
    </xf>
    <xf numFmtId="1" fontId="4" fillId="0" borderId="8" xfId="2" applyNumberFormat="1" applyFont="1" applyBorder="1" applyAlignment="1" applyProtection="1">
      <alignment horizontal="center"/>
      <protection locked="0"/>
    </xf>
    <xf numFmtId="0" fontId="4" fillId="0" borderId="0" xfId="2" applyFont="1" applyAlignment="1">
      <alignment horizontal="center" vertical="center"/>
    </xf>
    <xf numFmtId="1" fontId="4" fillId="0" borderId="0" xfId="2" applyNumberFormat="1" applyFont="1" applyAlignment="1">
      <alignment horizontal="center"/>
    </xf>
    <xf numFmtId="0" fontId="9" fillId="0" borderId="19" xfId="2" applyFont="1" applyBorder="1" applyAlignment="1">
      <alignment horizontal="center" vertical="center"/>
    </xf>
    <xf numFmtId="0" fontId="10" fillId="12" borderId="20" xfId="2" applyFont="1" applyFill="1" applyBorder="1" applyAlignment="1" applyProtection="1">
      <alignment horizontal="center" vertical="center"/>
      <protection locked="0"/>
    </xf>
    <xf numFmtId="0" fontId="10" fillId="12" borderId="21" xfId="2" applyFont="1" applyFill="1" applyBorder="1" applyAlignment="1" applyProtection="1">
      <alignment horizontal="center" vertical="center"/>
      <protection locked="0"/>
    </xf>
    <xf numFmtId="1" fontId="4" fillId="0" borderId="2" xfId="2" applyNumberFormat="1" applyFont="1" applyBorder="1" applyAlignment="1" applyProtection="1">
      <alignment horizontal="center"/>
      <protection locked="0"/>
    </xf>
    <xf numFmtId="167" fontId="4" fillId="0" borderId="1" xfId="2" applyNumberFormat="1" applyFont="1" applyBorder="1" applyAlignment="1" applyProtection="1">
      <alignment horizontal="center"/>
      <protection locked="0"/>
    </xf>
    <xf numFmtId="1" fontId="4" fillId="4" borderId="1" xfId="2" applyNumberFormat="1" applyFont="1" applyFill="1" applyBorder="1" applyAlignment="1" applyProtection="1">
      <alignment horizontal="center"/>
      <protection locked="0"/>
    </xf>
    <xf numFmtId="1" fontId="12" fillId="10" borderId="42" xfId="2" applyNumberFormat="1" applyFont="1" applyFill="1" applyBorder="1" applyAlignment="1">
      <alignment horizontal="center" vertical="center" wrapText="1"/>
    </xf>
    <xf numFmtId="1" fontId="12" fillId="11" borderId="41" xfId="2" applyNumberFormat="1" applyFont="1" applyFill="1" applyBorder="1" applyAlignment="1">
      <alignment horizontal="center" vertical="center" wrapText="1"/>
    </xf>
    <xf numFmtId="1" fontId="12" fillId="11" borderId="42" xfId="2" applyNumberFormat="1" applyFont="1" applyFill="1" applyBorder="1" applyAlignment="1">
      <alignment horizontal="center" vertical="center" wrapText="1"/>
    </xf>
    <xf numFmtId="1" fontId="4" fillId="0" borderId="12" xfId="2" applyNumberFormat="1" applyFont="1" applyBorder="1" applyAlignment="1" applyProtection="1">
      <alignment horizontal="center"/>
      <protection locked="0"/>
    </xf>
    <xf numFmtId="1" fontId="4" fillId="0" borderId="31" xfId="2" applyNumberFormat="1" applyFont="1" applyBorder="1" applyAlignment="1" applyProtection="1">
      <alignment horizontal="center"/>
      <protection locked="0"/>
    </xf>
    <xf numFmtId="1" fontId="4" fillId="0" borderId="6" xfId="2" applyNumberFormat="1" applyFont="1" applyBorder="1" applyAlignment="1" applyProtection="1">
      <alignment horizontal="center"/>
      <protection locked="0"/>
    </xf>
    <xf numFmtId="1" fontId="4" fillId="0" borderId="32" xfId="2" applyNumberFormat="1" applyFont="1" applyBorder="1" applyAlignment="1" applyProtection="1">
      <alignment horizontal="center"/>
      <protection locked="0"/>
    </xf>
    <xf numFmtId="0" fontId="12" fillId="11" borderId="48" xfId="2" applyFont="1" applyFill="1" applyBorder="1" applyAlignment="1">
      <alignment horizontal="left" vertical="center"/>
    </xf>
    <xf numFmtId="0" fontId="4" fillId="0" borderId="44" xfId="2" applyFont="1" applyBorder="1" applyAlignment="1">
      <alignment horizontal="left"/>
    </xf>
    <xf numFmtId="0" fontId="4" fillId="0" borderId="46" xfId="2" applyFont="1" applyBorder="1" applyAlignment="1">
      <alignment horizontal="left"/>
    </xf>
    <xf numFmtId="0" fontId="12" fillId="11" borderId="48" xfId="2" applyFont="1" applyFill="1" applyBorder="1" applyAlignment="1">
      <alignment horizontal="center" vertical="center"/>
    </xf>
    <xf numFmtId="0" fontId="4" fillId="0" borderId="29" xfId="2" applyFont="1" applyBorder="1" applyAlignment="1">
      <alignment horizontal="left"/>
    </xf>
    <xf numFmtId="0" fontId="12" fillId="2" borderId="42" xfId="2" applyFont="1" applyFill="1" applyBorder="1" applyAlignment="1">
      <alignment horizontal="left"/>
    </xf>
    <xf numFmtId="0" fontId="4" fillId="2" borderId="48" xfId="2" applyFont="1" applyFill="1" applyBorder="1" applyAlignment="1">
      <alignment horizontal="left"/>
    </xf>
    <xf numFmtId="0" fontId="4" fillId="2" borderId="48" xfId="2" applyFont="1" applyFill="1" applyBorder="1" applyAlignment="1">
      <alignment horizontal="center"/>
    </xf>
    <xf numFmtId="1" fontId="4" fillId="2" borderId="41" xfId="2" applyNumberFormat="1" applyFont="1" applyFill="1" applyBorder="1" applyAlignment="1">
      <alignment horizontal="center"/>
    </xf>
    <xf numFmtId="1" fontId="4" fillId="2" borderId="11" xfId="2" applyNumberFormat="1" applyFont="1" applyFill="1" applyBorder="1" applyAlignment="1">
      <alignment horizontal="center"/>
    </xf>
    <xf numFmtId="1" fontId="4" fillId="2" borderId="39" xfId="2" applyNumberFormat="1" applyFont="1" applyFill="1" applyBorder="1" applyAlignment="1">
      <alignment horizontal="center"/>
    </xf>
    <xf numFmtId="1" fontId="4" fillId="2" borderId="42" xfId="2" applyNumberFormat="1" applyFont="1" applyFill="1" applyBorder="1" applyAlignment="1">
      <alignment horizontal="center"/>
    </xf>
    <xf numFmtId="1" fontId="4" fillId="2" borderId="10" xfId="2" applyNumberFormat="1" applyFont="1" applyFill="1" applyBorder="1" applyAlignment="1">
      <alignment horizontal="center"/>
    </xf>
    <xf numFmtId="0" fontId="10" fillId="12" borderId="23" xfId="2" applyFont="1" applyFill="1" applyBorder="1" applyAlignment="1" applyProtection="1">
      <alignment horizontal="center" vertical="center"/>
      <protection locked="0"/>
    </xf>
    <xf numFmtId="0" fontId="2" fillId="4" borderId="22" xfId="2" applyFill="1" applyBorder="1" applyAlignment="1" applyProtection="1">
      <alignment horizontal="center" vertical="center"/>
      <protection locked="0"/>
    </xf>
    <xf numFmtId="0" fontId="10" fillId="12" borderId="19" xfId="2" applyFont="1" applyFill="1" applyBorder="1" applyAlignment="1" applyProtection="1">
      <alignment horizontal="center" vertical="center"/>
      <protection locked="0"/>
    </xf>
    <xf numFmtId="1" fontId="17" fillId="4" borderId="1" xfId="2" applyNumberFormat="1" applyFont="1" applyFill="1" applyBorder="1" applyAlignment="1" applyProtection="1">
      <alignment horizontal="center"/>
      <protection locked="0"/>
    </xf>
    <xf numFmtId="0" fontId="4" fillId="0" borderId="38" xfId="2" applyFont="1" applyBorder="1" applyAlignment="1">
      <alignment horizontal="left"/>
    </xf>
    <xf numFmtId="0" fontId="4" fillId="0" borderId="8" xfId="2" applyFont="1" applyBorder="1" applyAlignment="1">
      <alignment horizontal="left"/>
    </xf>
    <xf numFmtId="0" fontId="2" fillId="0" borderId="12" xfId="2" applyBorder="1" applyAlignment="1" applyProtection="1">
      <alignment horizontal="center" vertical="center"/>
      <protection locked="0"/>
    </xf>
    <xf numFmtId="0" fontId="4" fillId="0" borderId="14" xfId="2" applyFont="1" applyBorder="1" applyAlignment="1">
      <alignment horizontal="left"/>
    </xf>
    <xf numFmtId="49" fontId="12" fillId="11" borderId="24" xfId="2" applyNumberFormat="1" applyFont="1" applyFill="1" applyBorder="1" applyAlignment="1">
      <alignment horizontal="center" vertical="center"/>
    </xf>
    <xf numFmtId="49" fontId="12" fillId="11" borderId="17" xfId="2" applyNumberFormat="1" applyFont="1" applyFill="1" applyBorder="1" applyAlignment="1">
      <alignment horizontal="center" vertical="center"/>
    </xf>
    <xf numFmtId="49" fontId="12" fillId="11" borderId="25" xfId="2" applyNumberFormat="1" applyFont="1" applyFill="1" applyBorder="1" applyAlignment="1">
      <alignment horizontal="center" vertical="center"/>
    </xf>
    <xf numFmtId="0" fontId="12" fillId="8" borderId="48" xfId="2" applyFont="1" applyFill="1" applyBorder="1" applyAlignment="1">
      <alignment horizontal="left" vertical="center"/>
    </xf>
    <xf numFmtId="0" fontId="12" fillId="8" borderId="42" xfId="2" applyFont="1" applyFill="1" applyBorder="1" applyAlignment="1">
      <alignment horizontal="center" vertical="center"/>
    </xf>
    <xf numFmtId="0" fontId="12" fillId="8" borderId="48" xfId="2" applyFont="1" applyFill="1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27" xfId="0" applyBorder="1" applyAlignment="1">
      <alignment horizontal="center"/>
    </xf>
    <xf numFmtId="0" fontId="12" fillId="8" borderId="41" xfId="2" applyFont="1" applyFill="1" applyBorder="1" applyAlignment="1">
      <alignment horizontal="center" vertical="center"/>
    </xf>
    <xf numFmtId="0" fontId="12" fillId="8" borderId="40" xfId="2" applyFont="1" applyFill="1" applyBorder="1" applyAlignment="1">
      <alignment horizontal="center" vertical="center"/>
    </xf>
    <xf numFmtId="1" fontId="12" fillId="10" borderId="41" xfId="2" applyNumberFormat="1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/>
    </xf>
    <xf numFmtId="1" fontId="12" fillId="11" borderId="9" xfId="2" applyNumberFormat="1" applyFont="1" applyFill="1" applyBorder="1" applyAlignment="1">
      <alignment horizontal="center" vertical="center" wrapText="1"/>
    </xf>
    <xf numFmtId="1" fontId="12" fillId="11" borderId="46" xfId="2" applyNumberFormat="1" applyFont="1" applyFill="1" applyBorder="1" applyAlignment="1">
      <alignment horizontal="center" vertical="center" wrapText="1"/>
    </xf>
    <xf numFmtId="167" fontId="0" fillId="0" borderId="19" xfId="0" applyNumberFormat="1" applyBorder="1" applyAlignment="1">
      <alignment horizontal="center"/>
    </xf>
    <xf numFmtId="167" fontId="0" fillId="0" borderId="20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1" fontId="12" fillId="11" borderId="24" xfId="2" applyNumberFormat="1" applyFont="1" applyFill="1" applyBorder="1" applyAlignment="1">
      <alignment horizontal="center" vertical="center" wrapText="1"/>
    </xf>
    <xf numFmtId="1" fontId="12" fillId="11" borderId="18" xfId="2" applyNumberFormat="1" applyFont="1" applyFill="1" applyBorder="1" applyAlignment="1">
      <alignment horizontal="center" vertical="center" wrapText="1"/>
    </xf>
    <xf numFmtId="1" fontId="12" fillId="11" borderId="49" xfId="2" applyNumberFormat="1" applyFont="1" applyFill="1" applyBorder="1" applyAlignment="1">
      <alignment horizontal="center" vertical="center" wrapText="1"/>
    </xf>
    <xf numFmtId="1" fontId="12" fillId="11" borderId="17" xfId="2" applyNumberFormat="1" applyFont="1" applyFill="1" applyBorder="1" applyAlignment="1">
      <alignment horizontal="center" vertical="center" wrapText="1"/>
    </xf>
    <xf numFmtId="1" fontId="12" fillId="11" borderId="25" xfId="2" applyNumberFormat="1" applyFont="1" applyFill="1" applyBorder="1" applyAlignment="1">
      <alignment horizontal="center" vertical="center" wrapText="1"/>
    </xf>
    <xf numFmtId="165" fontId="4" fillId="0" borderId="28" xfId="2" applyNumberFormat="1" applyFont="1" applyBorder="1" applyAlignment="1" applyProtection="1">
      <alignment horizontal="center"/>
      <protection locked="0"/>
    </xf>
    <xf numFmtId="1" fontId="12" fillId="11" borderId="43" xfId="2" applyNumberFormat="1" applyFont="1" applyFill="1" applyBorder="1" applyAlignment="1">
      <alignment horizontal="center" vertical="center" wrapText="1"/>
    </xf>
    <xf numFmtId="0" fontId="4" fillId="0" borderId="33" xfId="2" applyFont="1" applyBorder="1" applyAlignment="1">
      <alignment horizontal="left"/>
    </xf>
    <xf numFmtId="0" fontId="4" fillId="0" borderId="15" xfId="2" applyFont="1" applyBorder="1" applyAlignment="1">
      <alignment horizontal="center"/>
    </xf>
    <xf numFmtId="1" fontId="4" fillId="0" borderId="15" xfId="2" applyNumberFormat="1" applyFont="1" applyBorder="1" applyAlignment="1">
      <alignment horizontal="center"/>
    </xf>
    <xf numFmtId="3" fontId="4" fillId="0" borderId="26" xfId="2" applyNumberFormat="1" applyFont="1" applyBorder="1" applyAlignment="1" applyProtection="1">
      <alignment horizontal="center" vertical="center"/>
      <protection locked="0"/>
    </xf>
    <xf numFmtId="0" fontId="12" fillId="11" borderId="41" xfId="2" applyFont="1" applyFill="1" applyBorder="1" applyAlignment="1">
      <alignment horizontal="center" vertical="center"/>
    </xf>
    <xf numFmtId="0" fontId="12" fillId="11" borderId="40" xfId="2" applyFont="1" applyFill="1" applyBorder="1" applyAlignment="1">
      <alignment horizontal="left" vertical="center"/>
    </xf>
    <xf numFmtId="0" fontId="12" fillId="11" borderId="41" xfId="2" applyFont="1" applyFill="1" applyBorder="1" applyAlignment="1">
      <alignment horizontal="left" vertical="center"/>
    </xf>
    <xf numFmtId="0" fontId="12" fillId="11" borderId="42" xfId="2" applyFont="1" applyFill="1" applyBorder="1" applyAlignment="1">
      <alignment horizontal="center" vertical="center"/>
    </xf>
    <xf numFmtId="0" fontId="12" fillId="11" borderId="40" xfId="2" applyFont="1" applyFill="1" applyBorder="1" applyAlignment="1">
      <alignment horizontal="center" vertical="center" wrapText="1"/>
    </xf>
    <xf numFmtId="0" fontId="12" fillId="11" borderId="39" xfId="2" applyFont="1" applyFill="1" applyBorder="1" applyAlignment="1">
      <alignment horizontal="center" vertical="center" wrapText="1"/>
    </xf>
    <xf numFmtId="0" fontId="12" fillId="11" borderId="16" xfId="2" applyFont="1" applyFill="1" applyBorder="1" applyAlignment="1">
      <alignment horizontal="center" vertical="center"/>
    </xf>
    <xf numFmtId="0" fontId="12" fillId="11" borderId="18" xfId="2" applyFont="1" applyFill="1" applyBorder="1" applyAlignment="1">
      <alignment horizontal="center" vertical="center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>
      <alignment horizontal="center"/>
    </xf>
    <xf numFmtId="0" fontId="22" fillId="3" borderId="10" xfId="0" applyFont="1" applyFill="1" applyBorder="1" applyAlignment="1">
      <alignment horizontal="center"/>
    </xf>
    <xf numFmtId="0" fontId="21" fillId="3" borderId="53" xfId="0" applyFont="1" applyFill="1" applyBorder="1" applyAlignment="1">
      <alignment horizontal="center"/>
    </xf>
    <xf numFmtId="14" fontId="24" fillId="0" borderId="31" xfId="0" applyNumberFormat="1" applyFont="1" applyBorder="1" applyAlignment="1">
      <alignment horizontal="center"/>
    </xf>
    <xf numFmtId="0" fontId="24" fillId="0" borderId="6" xfId="0" applyFont="1" applyBorder="1"/>
    <xf numFmtId="0" fontId="25" fillId="0" borderId="1" xfId="9" applyFont="1" applyBorder="1" applyAlignment="1">
      <alignment horizontal="left"/>
    </xf>
    <xf numFmtId="0" fontId="24" fillId="0" borderId="6" xfId="0" applyFont="1" applyBorder="1" applyAlignment="1">
      <alignment horizontal="center"/>
    </xf>
    <xf numFmtId="17" fontId="24" fillId="0" borderId="6" xfId="0" applyNumberFormat="1" applyFont="1" applyBorder="1" applyAlignment="1">
      <alignment horizontal="center"/>
    </xf>
    <xf numFmtId="14" fontId="26" fillId="0" borderId="6" xfId="9" applyNumberFormat="1" applyFont="1" applyBorder="1" applyAlignment="1">
      <alignment horizontal="center"/>
    </xf>
    <xf numFmtId="0" fontId="25" fillId="0" borderId="32" xfId="10" applyNumberFormat="1" applyFont="1" applyFill="1" applyBorder="1" applyAlignment="1">
      <alignment horizontal="left"/>
    </xf>
    <xf numFmtId="0" fontId="24" fillId="0" borderId="31" xfId="0" applyFont="1" applyBorder="1" applyAlignment="1">
      <alignment horizontal="center"/>
    </xf>
    <xf numFmtId="0" fontId="24" fillId="0" borderId="32" xfId="0" applyFont="1" applyBorder="1" applyAlignment="1">
      <alignment horizontal="center"/>
    </xf>
    <xf numFmtId="0" fontId="27" fillId="0" borderId="0" xfId="0" applyFont="1" applyAlignment="1">
      <alignment horizontal="center"/>
    </xf>
    <xf numFmtId="14" fontId="27" fillId="0" borderId="31" xfId="0" applyNumberFormat="1" applyFont="1" applyBorder="1" applyAlignment="1">
      <alignment horizontal="center"/>
    </xf>
    <xf numFmtId="14" fontId="28" fillId="0" borderId="19" xfId="9" applyNumberFormat="1" applyFont="1" applyBorder="1" applyAlignment="1">
      <alignment horizontal="center"/>
    </xf>
    <xf numFmtId="0" fontId="28" fillId="0" borderId="20" xfId="9" applyFont="1" applyBorder="1" applyAlignment="1">
      <alignment horizontal="left"/>
    </xf>
    <xf numFmtId="0" fontId="27" fillId="0" borderId="20" xfId="0" applyFont="1" applyBorder="1" applyAlignment="1">
      <alignment horizontal="center"/>
    </xf>
    <xf numFmtId="14" fontId="29" fillId="0" borderId="20" xfId="9" applyNumberFormat="1" applyFont="1" applyBorder="1" applyAlignment="1">
      <alignment horizontal="center"/>
    </xf>
    <xf numFmtId="0" fontId="28" fillId="0" borderId="21" xfId="10" applyNumberFormat="1" applyFont="1" applyFill="1" applyBorder="1" applyAlignment="1">
      <alignment horizontal="left"/>
    </xf>
    <xf numFmtId="0" fontId="28" fillId="0" borderId="19" xfId="10" applyNumberFormat="1" applyFont="1" applyFill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166" fontId="24" fillId="0" borderId="0" xfId="7" applyNumberFormat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3" fontId="24" fillId="0" borderId="6" xfId="0" applyNumberFormat="1" applyFont="1" applyBorder="1" applyAlignment="1">
      <alignment horizontal="center"/>
    </xf>
    <xf numFmtId="9" fontId="24" fillId="0" borderId="6" xfId="8" applyFont="1" applyFill="1" applyBorder="1" applyAlignment="1">
      <alignment horizontal="center"/>
    </xf>
    <xf numFmtId="0" fontId="24" fillId="13" borderId="47" xfId="0" applyFont="1" applyFill="1" applyBorder="1" applyAlignment="1">
      <alignment horizontal="center"/>
    </xf>
    <xf numFmtId="0" fontId="24" fillId="5" borderId="47" xfId="0" applyFont="1" applyFill="1" applyBorder="1" applyAlignment="1">
      <alignment horizontal="center"/>
    </xf>
    <xf numFmtId="0" fontId="25" fillId="0" borderId="6" xfId="9" applyFont="1" applyBorder="1" applyAlignment="1">
      <alignment horizontal="left"/>
    </xf>
    <xf numFmtId="0" fontId="25" fillId="0" borderId="6" xfId="9" applyFont="1" applyBorder="1" applyAlignment="1">
      <alignment horizontal="center"/>
    </xf>
    <xf numFmtId="3" fontId="25" fillId="0" borderId="6" xfId="9" applyNumberFormat="1" applyFont="1" applyBorder="1" applyAlignment="1">
      <alignment horizontal="center"/>
    </xf>
    <xf numFmtId="169" fontId="25" fillId="0" borderId="1" xfId="8" applyNumberFormat="1" applyFont="1" applyFill="1" applyBorder="1" applyAlignment="1">
      <alignment horizontal="center"/>
    </xf>
    <xf numFmtId="14" fontId="25" fillId="0" borderId="1" xfId="9" applyNumberFormat="1" applyFont="1" applyBorder="1" applyAlignment="1">
      <alignment horizontal="center"/>
    </xf>
    <xf numFmtId="14" fontId="24" fillId="0" borderId="6" xfId="0" applyNumberFormat="1" applyFont="1" applyBorder="1" applyAlignment="1">
      <alignment horizontal="center"/>
    </xf>
    <xf numFmtId="0" fontId="24" fillId="0" borderId="54" xfId="0" applyFont="1" applyBorder="1" applyAlignment="1">
      <alignment vertical="center"/>
    </xf>
    <xf numFmtId="14" fontId="20" fillId="0" borderId="6" xfId="0" applyNumberFormat="1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3" fontId="24" fillId="0" borderId="20" xfId="0" applyNumberFormat="1" applyFont="1" applyBorder="1" applyAlignment="1">
      <alignment horizontal="center"/>
    </xf>
    <xf numFmtId="3" fontId="25" fillId="0" borderId="20" xfId="9" applyNumberFormat="1" applyFont="1" applyBorder="1" applyAlignment="1">
      <alignment horizontal="center"/>
    </xf>
    <xf numFmtId="166" fontId="25" fillId="0" borderId="20" xfId="7" applyNumberFormat="1" applyFont="1" applyFill="1" applyBorder="1" applyAlignment="1">
      <alignment horizontal="center"/>
    </xf>
    <xf numFmtId="0" fontId="24" fillId="0" borderId="55" xfId="0" applyFont="1" applyBorder="1" applyAlignment="1">
      <alignment vertical="center"/>
    </xf>
    <xf numFmtId="1" fontId="4" fillId="0" borderId="14" xfId="2" quotePrefix="1" applyNumberFormat="1" applyFont="1" applyBorder="1" applyAlignment="1">
      <alignment horizontal="center"/>
    </xf>
    <xf numFmtId="0" fontId="12" fillId="8" borderId="48" xfId="2" applyFont="1" applyFill="1" applyBorder="1" applyAlignment="1">
      <alignment horizontal="center" vertical="center" wrapText="1"/>
    </xf>
    <xf numFmtId="0" fontId="4" fillId="14" borderId="0" xfId="2" applyFont="1" applyFill="1"/>
    <xf numFmtId="0" fontId="11" fillId="14" borderId="0" xfId="2" applyFont="1" applyFill="1" applyAlignment="1">
      <alignment horizontal="left"/>
    </xf>
    <xf numFmtId="0" fontId="4" fillId="14" borderId="0" xfId="2" applyFont="1" applyFill="1" applyAlignment="1">
      <alignment horizontal="center"/>
    </xf>
    <xf numFmtId="0" fontId="4" fillId="14" borderId="0" xfId="2" applyFont="1" applyFill="1" applyAlignment="1">
      <alignment vertical="center"/>
    </xf>
    <xf numFmtId="1" fontId="12" fillId="14" borderId="0" xfId="2" applyNumberFormat="1" applyFont="1" applyFill="1" applyAlignment="1">
      <alignment horizontal="center"/>
    </xf>
    <xf numFmtId="0" fontId="4" fillId="14" borderId="0" xfId="2" applyFont="1" applyFill="1" applyAlignment="1">
      <alignment horizontal="left"/>
    </xf>
    <xf numFmtId="1" fontId="4" fillId="14" borderId="0" xfId="2" applyNumberFormat="1" applyFont="1" applyFill="1"/>
    <xf numFmtId="0" fontId="15" fillId="14" borderId="0" xfId="5" applyFont="1" applyFill="1" applyAlignment="1">
      <alignment horizontal="right"/>
    </xf>
    <xf numFmtId="14" fontId="15" fillId="14" borderId="0" xfId="5" applyNumberFormat="1" applyFont="1" applyFill="1"/>
    <xf numFmtId="0" fontId="12" fillId="14" borderId="0" xfId="2" applyFont="1" applyFill="1" applyAlignment="1">
      <alignment horizontal="right" vertical="center"/>
    </xf>
    <xf numFmtId="1" fontId="12" fillId="14" borderId="28" xfId="2" applyNumberFormat="1" applyFont="1" applyFill="1" applyBorder="1" applyAlignment="1">
      <alignment horizontal="right" vertical="center"/>
    </xf>
    <xf numFmtId="0" fontId="4" fillId="14" borderId="0" xfId="2" applyFont="1" applyFill="1" applyAlignment="1">
      <alignment horizontal="center" vertical="center"/>
    </xf>
    <xf numFmtId="0" fontId="13" fillId="14" borderId="0" xfId="2" applyFont="1" applyFill="1" applyAlignment="1">
      <alignment horizontal="center" vertical="center"/>
    </xf>
    <xf numFmtId="0" fontId="4" fillId="14" borderId="0" xfId="2" applyFont="1" applyFill="1" applyAlignment="1">
      <alignment horizontal="right" vertical="center"/>
    </xf>
    <xf numFmtId="0" fontId="32" fillId="14" borderId="0" xfId="2" applyFont="1" applyFill="1" applyAlignment="1">
      <alignment horizontal="right" vertical="center"/>
    </xf>
    <xf numFmtId="1" fontId="32" fillId="14" borderId="0" xfId="2" applyNumberFormat="1" applyFont="1" applyFill="1" applyAlignment="1">
      <alignment horizontal="right" vertical="center"/>
    </xf>
    <xf numFmtId="0" fontId="12" fillId="14" borderId="0" xfId="2" applyFont="1" applyFill="1" applyAlignment="1">
      <alignment horizontal="left"/>
    </xf>
    <xf numFmtId="0" fontId="4" fillId="14" borderId="11" xfId="2" applyFont="1" applyFill="1" applyBorder="1" applyAlignment="1">
      <alignment vertical="center"/>
    </xf>
    <xf numFmtId="0" fontId="4" fillId="14" borderId="0" xfId="2" applyFont="1" applyFill="1" applyAlignment="1">
      <alignment horizontal="left" vertical="center"/>
    </xf>
    <xf numFmtId="0" fontId="33" fillId="14" borderId="0" xfId="2" applyFont="1" applyFill="1" applyAlignment="1">
      <alignment horizontal="right" vertical="center"/>
    </xf>
    <xf numFmtId="0" fontId="34" fillId="14" borderId="0" xfId="2" applyFont="1" applyFill="1" applyAlignment="1">
      <alignment horizontal="right" vertical="center"/>
    </xf>
    <xf numFmtId="0" fontId="34" fillId="14" borderId="0" xfId="2" applyFont="1" applyFill="1" applyAlignment="1">
      <alignment horizontal="right"/>
    </xf>
    <xf numFmtId="0" fontId="12" fillId="14" borderId="0" xfId="2" applyFont="1" applyFill="1" applyAlignment="1">
      <alignment horizontal="center" vertical="center"/>
    </xf>
    <xf numFmtId="1" fontId="4" fillId="14" borderId="0" xfId="2" applyNumberFormat="1" applyFont="1" applyFill="1" applyAlignment="1">
      <alignment horizontal="center" vertical="center"/>
    </xf>
    <xf numFmtId="1" fontId="4" fillId="14" borderId="0" xfId="2" applyNumberFormat="1" applyFont="1" applyFill="1" applyAlignment="1">
      <alignment horizontal="center"/>
    </xf>
    <xf numFmtId="0" fontId="4" fillId="0" borderId="1" xfId="2" applyFont="1" applyBorder="1" applyAlignment="1">
      <alignment horizontal="left"/>
    </xf>
    <xf numFmtId="0" fontId="4" fillId="0" borderId="2" xfId="2" applyFont="1" applyBorder="1" applyAlignment="1">
      <alignment horizontal="center"/>
    </xf>
    <xf numFmtId="0" fontId="4" fillId="0" borderId="7" xfId="2" applyFont="1" applyBorder="1" applyAlignment="1">
      <alignment horizontal="center"/>
    </xf>
    <xf numFmtId="1" fontId="4" fillId="0" borderId="1" xfId="2" applyNumberFormat="1" applyFont="1" applyBorder="1" applyAlignment="1">
      <alignment horizontal="center"/>
    </xf>
    <xf numFmtId="1" fontId="4" fillId="0" borderId="2" xfId="2" applyNumberFormat="1" applyFont="1" applyBorder="1" applyAlignment="1">
      <alignment horizontal="center"/>
    </xf>
    <xf numFmtId="0" fontId="4" fillId="0" borderId="7" xfId="2" applyFont="1" applyBorder="1" applyAlignment="1">
      <alignment horizontal="left"/>
    </xf>
    <xf numFmtId="0" fontId="0" fillId="14" borderId="0" xfId="0" applyFill="1" applyAlignment="1">
      <alignment horizontal="center"/>
    </xf>
    <xf numFmtId="0" fontId="0" fillId="14" borderId="0" xfId="0" applyFill="1" applyAlignment="1">
      <alignment horizontal="left"/>
    </xf>
    <xf numFmtId="0" fontId="24" fillId="14" borderId="0" xfId="0" applyFont="1" applyFill="1" applyAlignment="1">
      <alignment horizontal="center"/>
    </xf>
    <xf numFmtId="0" fontId="18" fillId="14" borderId="0" xfId="0" applyFont="1" applyFill="1" applyAlignment="1">
      <alignment horizontal="center"/>
    </xf>
    <xf numFmtId="0" fontId="31" fillId="14" borderId="0" xfId="0" applyFont="1" applyFill="1" applyAlignment="1">
      <alignment horizontal="center"/>
    </xf>
    <xf numFmtId="0" fontId="35" fillId="14" borderId="0" xfId="2" applyFont="1" applyFill="1" applyAlignment="1">
      <alignment horizontal="left"/>
    </xf>
    <xf numFmtId="0" fontId="36" fillId="14" borderId="0" xfId="0" applyFont="1" applyFill="1" applyAlignment="1">
      <alignment horizontal="left" vertical="center"/>
    </xf>
    <xf numFmtId="0" fontId="30" fillId="14" borderId="0" xfId="0" applyFont="1" applyFill="1" applyAlignment="1">
      <alignment horizontal="center"/>
    </xf>
    <xf numFmtId="0" fontId="37" fillId="14" borderId="0" xfId="0" applyFont="1" applyFill="1" applyAlignment="1">
      <alignment horizontal="right"/>
    </xf>
    <xf numFmtId="0" fontId="19" fillId="14" borderId="0" xfId="0" applyFont="1" applyFill="1" applyAlignment="1">
      <alignment horizontal="left"/>
    </xf>
    <xf numFmtId="0" fontId="24" fillId="14" borderId="0" xfId="0" applyFont="1" applyFill="1" applyAlignment="1">
      <alignment horizontal="left"/>
    </xf>
    <xf numFmtId="166" fontId="24" fillId="14" borderId="0" xfId="7" applyNumberFormat="1" applyFont="1" applyFill="1" applyBorder="1" applyAlignment="1">
      <alignment horizontal="center"/>
    </xf>
    <xf numFmtId="0" fontId="21" fillId="14" borderId="0" xfId="0" applyFont="1" applyFill="1" applyAlignment="1">
      <alignment horizontal="center"/>
    </xf>
    <xf numFmtId="0" fontId="23" fillId="14" borderId="0" xfId="0" applyFont="1" applyFill="1" applyAlignment="1">
      <alignment horizontal="center"/>
    </xf>
    <xf numFmtId="0" fontId="27" fillId="14" borderId="0" xfId="0" applyFont="1" applyFill="1" applyAlignment="1">
      <alignment horizontal="center"/>
    </xf>
    <xf numFmtId="165" fontId="4" fillId="14" borderId="0" xfId="2" applyNumberFormat="1" applyFont="1" applyFill="1" applyAlignment="1">
      <alignment vertical="center"/>
    </xf>
    <xf numFmtId="0" fontId="6" fillId="0" borderId="41" xfId="2" applyFont="1" applyBorder="1" applyAlignment="1">
      <alignment horizontal="left"/>
    </xf>
    <xf numFmtId="0" fontId="6" fillId="0" borderId="20" xfId="2" applyFont="1" applyBorder="1" applyAlignment="1">
      <alignment horizontal="left" vertical="center"/>
    </xf>
    <xf numFmtId="0" fontId="2" fillId="0" borderId="20" xfId="2" applyBorder="1" applyAlignment="1" applyProtection="1">
      <alignment horizontal="center" vertical="center"/>
      <protection locked="0"/>
    </xf>
    <xf numFmtId="0" fontId="2" fillId="4" borderId="23" xfId="2" applyFill="1" applyBorder="1" applyAlignment="1" applyProtection="1">
      <alignment horizontal="center" vertical="center"/>
      <protection locked="0"/>
    </xf>
    <xf numFmtId="165" fontId="4" fillId="0" borderId="2" xfId="2" applyNumberFormat="1" applyFont="1" applyBorder="1" applyAlignment="1">
      <alignment horizontal="right" vertical="center"/>
    </xf>
    <xf numFmtId="165" fontId="4" fillId="0" borderId="7" xfId="2" applyNumberFormat="1" applyFont="1" applyBorder="1" applyAlignment="1">
      <alignment horizontal="right" vertical="center"/>
    </xf>
    <xf numFmtId="165" fontId="4" fillId="0" borderId="8" xfId="2" applyNumberFormat="1" applyFont="1" applyBorder="1" applyAlignment="1">
      <alignment horizontal="right" vertical="center"/>
    </xf>
    <xf numFmtId="0" fontId="34" fillId="14" borderId="57" xfId="2" applyFont="1" applyFill="1" applyBorder="1" applyAlignment="1">
      <alignment horizontal="right" vertical="center"/>
    </xf>
    <xf numFmtId="0" fontId="38" fillId="14" borderId="0" xfId="2" applyFont="1" applyFill="1"/>
    <xf numFmtId="0" fontId="9" fillId="14" borderId="0" xfId="2" applyFont="1" applyFill="1" applyAlignment="1">
      <alignment horizontal="center" vertical="center"/>
    </xf>
    <xf numFmtId="0" fontId="2" fillId="14" borderId="0" xfId="2" applyFill="1" applyAlignment="1">
      <alignment vertical="center" textRotation="180"/>
    </xf>
    <xf numFmtId="16" fontId="2" fillId="14" borderId="0" xfId="2" applyNumberFormat="1" applyFill="1" applyAlignment="1">
      <alignment vertical="center" textRotation="180"/>
    </xf>
    <xf numFmtId="0" fontId="6" fillId="14" borderId="0" xfId="2" applyFont="1" applyFill="1" applyAlignment="1">
      <alignment horizontal="center"/>
    </xf>
    <xf numFmtId="1" fontId="2" fillId="14" borderId="0" xfId="2" applyNumberFormat="1" applyFill="1" applyAlignment="1">
      <alignment horizontal="center"/>
    </xf>
    <xf numFmtId="1" fontId="38" fillId="14" borderId="0" xfId="2" applyNumberFormat="1" applyFont="1" applyFill="1" applyAlignment="1">
      <alignment horizontal="center"/>
    </xf>
    <xf numFmtId="1" fontId="2" fillId="0" borderId="13" xfId="2" applyNumberFormat="1" applyBorder="1" applyAlignment="1">
      <alignment horizontal="center" vertical="center"/>
    </xf>
    <xf numFmtId="0" fontId="9" fillId="0" borderId="20" xfId="2" applyFont="1" applyBorder="1" applyAlignment="1">
      <alignment horizontal="right" vertical="center"/>
    </xf>
    <xf numFmtId="0" fontId="9" fillId="0" borderId="13" xfId="2" applyFont="1" applyBorder="1" applyAlignment="1">
      <alignment horizontal="center" vertical="center"/>
    </xf>
    <xf numFmtId="0" fontId="9" fillId="0" borderId="12" xfId="2" applyFont="1" applyBorder="1" applyAlignment="1">
      <alignment horizontal="right" vertical="center"/>
    </xf>
    <xf numFmtId="0" fontId="10" fillId="7" borderId="12" xfId="2" applyFont="1" applyFill="1" applyBorder="1" applyAlignment="1">
      <alignment horizontal="center" vertical="center"/>
    </xf>
    <xf numFmtId="0" fontId="10" fillId="4" borderId="12" xfId="2" applyFont="1" applyFill="1" applyBorder="1" applyAlignment="1">
      <alignment horizontal="center" vertical="center"/>
    </xf>
    <xf numFmtId="0" fontId="10" fillId="4" borderId="22" xfId="2" applyFont="1" applyFill="1" applyBorder="1" applyAlignment="1">
      <alignment horizontal="center" vertical="center"/>
    </xf>
    <xf numFmtId="0" fontId="5" fillId="0" borderId="1" xfId="2" applyFont="1" applyBorder="1"/>
    <xf numFmtId="1" fontId="8" fillId="0" borderId="1" xfId="2" applyNumberFormat="1" applyFont="1" applyBorder="1"/>
    <xf numFmtId="9" fontId="7" fillId="6" borderId="3" xfId="2" applyNumberFormat="1" applyFont="1" applyFill="1" applyBorder="1" applyAlignment="1">
      <alignment horizontal="center" vertical="center"/>
    </xf>
    <xf numFmtId="0" fontId="5" fillId="0" borderId="4" xfId="2" applyFont="1" applyBorder="1"/>
    <xf numFmtId="0" fontId="5" fillId="0" borderId="7" xfId="2" applyFont="1" applyBorder="1" applyAlignment="1">
      <alignment horizontal="center" vertical="center"/>
    </xf>
    <xf numFmtId="1" fontId="8" fillId="0" borderId="8" xfId="2" applyNumberFormat="1" applyFont="1" applyBorder="1"/>
    <xf numFmtId="0" fontId="5" fillId="0" borderId="20" xfId="2" applyFont="1" applyBorder="1"/>
    <xf numFmtId="1" fontId="8" fillId="0" borderId="20" xfId="2" applyNumberFormat="1" applyFont="1" applyBorder="1"/>
    <xf numFmtId="1" fontId="8" fillId="0" borderId="21" xfId="2" applyNumberFormat="1" applyFont="1" applyBorder="1"/>
    <xf numFmtId="165" fontId="4" fillId="0" borderId="1" xfId="2" applyNumberFormat="1" applyFont="1" applyBorder="1" applyAlignment="1">
      <alignment horizontal="right"/>
    </xf>
    <xf numFmtId="165" fontId="4" fillId="0" borderId="2" xfId="2" applyNumberFormat="1" applyFont="1" applyBorder="1" applyAlignment="1">
      <alignment horizontal="right"/>
    </xf>
    <xf numFmtId="165" fontId="4" fillId="0" borderId="7" xfId="2" applyNumberFormat="1" applyFont="1" applyBorder="1" applyAlignment="1">
      <alignment horizontal="right"/>
    </xf>
    <xf numFmtId="165" fontId="4" fillId="0" borderId="8" xfId="2" applyNumberFormat="1" applyFont="1" applyBorder="1" applyAlignment="1">
      <alignment horizontal="right"/>
    </xf>
    <xf numFmtId="165" fontId="4" fillId="0" borderId="20" xfId="2" applyNumberFormat="1" applyFont="1" applyBorder="1" applyAlignment="1">
      <alignment horizontal="right" vertical="center"/>
    </xf>
    <xf numFmtId="165" fontId="4" fillId="0" borderId="23" xfId="2" applyNumberFormat="1" applyFont="1" applyBorder="1" applyAlignment="1">
      <alignment horizontal="right" vertical="center"/>
    </xf>
    <xf numFmtId="165" fontId="4" fillId="0" borderId="19" xfId="2" applyNumberFormat="1" applyFont="1" applyBorder="1" applyAlignment="1">
      <alignment horizontal="right" vertical="center"/>
    </xf>
    <xf numFmtId="165" fontId="4" fillId="0" borderId="21" xfId="2" applyNumberFormat="1" applyFont="1" applyBorder="1" applyAlignment="1">
      <alignment horizontal="right" vertical="center"/>
    </xf>
    <xf numFmtId="165" fontId="12" fillId="7" borderId="1" xfId="2" applyNumberFormat="1" applyFont="1" applyFill="1" applyBorder="1" applyAlignment="1">
      <alignment horizontal="right" vertical="center"/>
    </xf>
    <xf numFmtId="165" fontId="12" fillId="7" borderId="2" xfId="2" applyNumberFormat="1" applyFont="1" applyFill="1" applyBorder="1" applyAlignment="1">
      <alignment horizontal="right" vertical="center"/>
    </xf>
    <xf numFmtId="165" fontId="12" fillId="7" borderId="3" xfId="2" applyNumberFormat="1" applyFont="1" applyFill="1" applyBorder="1" applyAlignment="1">
      <alignment horizontal="right" vertical="center"/>
    </xf>
    <xf numFmtId="165" fontId="12" fillId="7" borderId="4" xfId="2" applyNumberFormat="1" applyFont="1" applyFill="1" applyBorder="1" applyAlignment="1">
      <alignment horizontal="right" vertical="center"/>
    </xf>
    <xf numFmtId="165" fontId="12" fillId="7" borderId="5" xfId="2" applyNumberFormat="1" applyFont="1" applyFill="1" applyBorder="1" applyAlignment="1">
      <alignment horizontal="right" vertical="center"/>
    </xf>
    <xf numFmtId="1" fontId="5" fillId="7" borderId="4" xfId="2" applyNumberFormat="1" applyFont="1" applyFill="1" applyBorder="1"/>
    <xf numFmtId="1" fontId="5" fillId="7" borderId="5" xfId="2" applyNumberFormat="1" applyFont="1" applyFill="1" applyBorder="1"/>
    <xf numFmtId="166" fontId="24" fillId="14" borderId="0" xfId="0" applyNumberFormat="1" applyFont="1" applyFill="1" applyAlignment="1">
      <alignment horizontal="center"/>
    </xf>
    <xf numFmtId="1" fontId="24" fillId="14" borderId="0" xfId="0" applyNumberFormat="1" applyFont="1" applyFill="1" applyAlignment="1">
      <alignment horizontal="center"/>
    </xf>
    <xf numFmtId="166" fontId="4" fillId="14" borderId="0" xfId="2" applyNumberFormat="1" applyFont="1" applyFill="1" applyAlignment="1">
      <alignment vertical="center"/>
    </xf>
    <xf numFmtId="1" fontId="4" fillId="4" borderId="22" xfId="2" applyNumberFormat="1" applyFont="1" applyFill="1" applyBorder="1" applyAlignment="1" applyProtection="1">
      <alignment horizontal="center"/>
      <protection locked="0"/>
    </xf>
    <xf numFmtId="1" fontId="4" fillId="4" borderId="2" xfId="2" applyNumberFormat="1" applyFont="1" applyFill="1" applyBorder="1" applyAlignment="1" applyProtection="1">
      <alignment horizontal="center"/>
      <protection locked="0"/>
    </xf>
    <xf numFmtId="168" fontId="25" fillId="0" borderId="6" xfId="8" applyNumberFormat="1" applyFont="1" applyFill="1" applyBorder="1" applyAlignment="1">
      <alignment horizontal="center"/>
    </xf>
    <xf numFmtId="168" fontId="25" fillId="0" borderId="20" xfId="8" applyNumberFormat="1" applyFont="1" applyFill="1" applyBorder="1" applyAlignment="1">
      <alignment horizontal="center"/>
    </xf>
    <xf numFmtId="1" fontId="5" fillId="10" borderId="42" xfId="2" applyNumberFormat="1" applyFont="1" applyFill="1" applyBorder="1" applyAlignment="1">
      <alignment horizontal="center" vertical="center" wrapText="1"/>
    </xf>
    <xf numFmtId="1" fontId="5" fillId="10" borderId="41" xfId="2" applyNumberFormat="1" applyFont="1" applyFill="1" applyBorder="1" applyAlignment="1">
      <alignment horizontal="center" vertical="center" wrapText="1"/>
    </xf>
    <xf numFmtId="1" fontId="4" fillId="4" borderId="12" xfId="2" applyNumberFormat="1" applyFont="1" applyFill="1" applyBorder="1" applyAlignment="1" applyProtection="1">
      <alignment horizontal="center"/>
      <protection locked="0"/>
    </xf>
    <xf numFmtId="0" fontId="2" fillId="14" borderId="0" xfId="2" applyFill="1" applyAlignment="1">
      <alignment horizontal="left"/>
    </xf>
    <xf numFmtId="0" fontId="2" fillId="14" borderId="0" xfId="2" applyFill="1" applyAlignment="1">
      <alignment horizontal="center"/>
    </xf>
    <xf numFmtId="0" fontId="2" fillId="14" borderId="0" xfId="2" applyFill="1"/>
    <xf numFmtId="0" fontId="2" fillId="0" borderId="0" xfId="2"/>
    <xf numFmtId="0" fontId="2" fillId="14" borderId="0" xfId="2" applyFill="1" applyAlignment="1">
      <alignment horizontal="center" vertical="center"/>
    </xf>
    <xf numFmtId="0" fontId="2" fillId="0" borderId="1" xfId="2" applyBorder="1" applyAlignment="1" applyProtection="1">
      <alignment horizontal="center" vertical="center"/>
      <protection locked="0"/>
    </xf>
    <xf numFmtId="0" fontId="2" fillId="4" borderId="2" xfId="2" applyFill="1" applyBorder="1" applyAlignment="1" applyProtection="1">
      <alignment horizontal="center" vertical="center"/>
      <protection locked="0"/>
    </xf>
    <xf numFmtId="0" fontId="2" fillId="0" borderId="5" xfId="2" applyBorder="1" applyAlignment="1" applyProtection="1">
      <alignment horizontal="center" vertical="center"/>
      <protection locked="0"/>
    </xf>
    <xf numFmtId="1" fontId="2" fillId="0" borderId="7" xfId="2" applyNumberFormat="1" applyBorder="1" applyAlignment="1">
      <alignment horizontal="center" vertical="center"/>
    </xf>
    <xf numFmtId="0" fontId="2" fillId="0" borderId="13" xfId="2" applyBorder="1" applyAlignment="1" applyProtection="1">
      <alignment horizontal="center" vertical="center"/>
      <protection locked="0"/>
    </xf>
    <xf numFmtId="0" fontId="2" fillId="0" borderId="26" xfId="2" applyBorder="1" applyAlignment="1" applyProtection="1">
      <alignment horizontal="center" vertical="center"/>
      <protection locked="0"/>
    </xf>
    <xf numFmtId="1" fontId="2" fillId="0" borderId="19" xfId="2" applyNumberFormat="1" applyBorder="1" applyAlignment="1">
      <alignment horizontal="center" vertical="center"/>
    </xf>
    <xf numFmtId="0" fontId="2" fillId="0" borderId="21" xfId="2" applyBorder="1" applyAlignment="1" applyProtection="1">
      <alignment horizontal="center" vertical="center"/>
      <protection locked="0"/>
    </xf>
    <xf numFmtId="0" fontId="2" fillId="0" borderId="56" xfId="2" applyBorder="1" applyAlignment="1" applyProtection="1">
      <alignment horizontal="center" vertical="center"/>
      <protection locked="0"/>
    </xf>
    <xf numFmtId="1" fontId="2" fillId="0" borderId="40" xfId="2" applyNumberFormat="1" applyBorder="1" applyAlignment="1">
      <alignment horizontal="center" vertical="center"/>
    </xf>
    <xf numFmtId="0" fontId="2" fillId="0" borderId="41" xfId="2" applyBorder="1" applyAlignment="1" applyProtection="1">
      <alignment horizontal="center" vertical="center"/>
      <protection locked="0"/>
    </xf>
    <xf numFmtId="9" fontId="2" fillId="14" borderId="0" xfId="2" applyNumberFormat="1" applyFill="1" applyAlignment="1">
      <alignment horizontal="center" vertical="center"/>
    </xf>
    <xf numFmtId="16" fontId="2" fillId="14" borderId="0" xfId="2" applyNumberFormat="1" applyFill="1"/>
    <xf numFmtId="14" fontId="25" fillId="0" borderId="31" xfId="9" applyNumberFormat="1" applyFont="1" applyBorder="1" applyAlignment="1">
      <alignment horizontal="center"/>
    </xf>
    <xf numFmtId="0" fontId="39" fillId="14" borderId="0" xfId="5" applyFont="1" applyFill="1" applyAlignment="1">
      <alignment horizontal="right"/>
    </xf>
    <xf numFmtId="14" fontId="39" fillId="14" borderId="0" xfId="5" applyNumberFormat="1" applyFont="1" applyFill="1"/>
    <xf numFmtId="14" fontId="39" fillId="14" borderId="0" xfId="5" applyNumberFormat="1" applyFont="1" applyFill="1" applyAlignment="1">
      <alignment horizontal="center" vertical="center"/>
    </xf>
    <xf numFmtId="0" fontId="20" fillId="3" borderId="24" xfId="0" applyFont="1" applyFill="1" applyBorder="1" applyAlignment="1">
      <alignment horizontal="center" vertical="center"/>
    </xf>
    <xf numFmtId="0" fontId="20" fillId="3" borderId="17" xfId="0" applyFont="1" applyFill="1" applyBorder="1" applyAlignment="1">
      <alignment horizontal="center" vertical="center"/>
    </xf>
    <xf numFmtId="0" fontId="20" fillId="3" borderId="17" xfId="0" applyFont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166" fontId="20" fillId="15" borderId="17" xfId="7" applyNumberFormat="1" applyFont="1" applyFill="1" applyBorder="1" applyAlignment="1">
      <alignment horizontal="center" vertical="center"/>
    </xf>
    <xf numFmtId="166" fontId="20" fillId="3" borderId="17" xfId="7" applyNumberFormat="1" applyFont="1" applyFill="1" applyBorder="1" applyAlignment="1">
      <alignment horizontal="center" vertical="center" wrapText="1"/>
    </xf>
    <xf numFmtId="0" fontId="40" fillId="0" borderId="0" xfId="2" applyFont="1" applyAlignment="1">
      <alignment horizontal="left"/>
    </xf>
    <xf numFmtId="0" fontId="40" fillId="0" borderId="50" xfId="2" applyFont="1" applyBorder="1" applyAlignment="1">
      <alignment horizontal="left"/>
    </xf>
    <xf numFmtId="0" fontId="40" fillId="0" borderId="27" xfId="2" applyFont="1" applyBorder="1" applyAlignment="1">
      <alignment horizontal="left"/>
    </xf>
    <xf numFmtId="0" fontId="40" fillId="0" borderId="30" xfId="2" applyFont="1" applyBorder="1" applyAlignment="1">
      <alignment horizontal="left"/>
    </xf>
    <xf numFmtId="0" fontId="40" fillId="0" borderId="44" xfId="2" applyFont="1" applyBorder="1" applyAlignment="1">
      <alignment horizontal="left"/>
    </xf>
    <xf numFmtId="0" fontId="40" fillId="0" borderId="29" xfId="2" applyFont="1" applyBorder="1" applyAlignment="1">
      <alignment horizontal="left"/>
    </xf>
    <xf numFmtId="0" fontId="40" fillId="0" borderId="2" xfId="2" applyFont="1" applyBorder="1" applyAlignment="1">
      <alignment horizontal="left"/>
    </xf>
    <xf numFmtId="0" fontId="40" fillId="0" borderId="46" xfId="2" applyFont="1" applyBorder="1" applyAlignment="1">
      <alignment horizontal="left"/>
    </xf>
    <xf numFmtId="1" fontId="5" fillId="9" borderId="48" xfId="2" applyNumberFormat="1" applyFont="1" applyFill="1" applyBorder="1" applyAlignment="1">
      <alignment horizontal="center" vertical="center" wrapText="1"/>
    </xf>
    <xf numFmtId="166" fontId="25" fillId="0" borderId="6" xfId="7" applyNumberFormat="1" applyFont="1" applyFill="1" applyBorder="1" applyAlignment="1">
      <alignment horizontal="center"/>
    </xf>
    <xf numFmtId="0" fontId="40" fillId="0" borderId="23" xfId="2" applyFont="1" applyBorder="1" applyAlignment="1">
      <alignment horizontal="left"/>
    </xf>
    <xf numFmtId="0" fontId="40" fillId="0" borderId="45" xfId="2" applyFont="1" applyBorder="1" applyAlignment="1">
      <alignment horizontal="left"/>
    </xf>
    <xf numFmtId="0" fontId="0" fillId="0" borderId="29" xfId="0" applyBorder="1" applyAlignment="1">
      <alignment horizontal="center"/>
    </xf>
    <xf numFmtId="166" fontId="24" fillId="14" borderId="0" xfId="7" applyNumberFormat="1" applyFont="1" applyFill="1" applyAlignment="1">
      <alignment horizontal="center"/>
    </xf>
    <xf numFmtId="166" fontId="0" fillId="0" borderId="0" xfId="7" applyNumberFormat="1" applyFont="1"/>
    <xf numFmtId="166" fontId="0" fillId="0" borderId="0" xfId="0" applyNumberFormat="1"/>
    <xf numFmtId="0" fontId="41" fillId="0" borderId="2" xfId="0" applyFont="1" applyBorder="1" applyProtection="1">
      <protection locked="0"/>
    </xf>
    <xf numFmtId="0" fontId="6" fillId="0" borderId="2" xfId="2" applyFont="1" applyBorder="1" applyAlignment="1">
      <alignment horizontal="left" vertical="center"/>
    </xf>
    <xf numFmtId="0" fontId="42" fillId="14" borderId="0" xfId="2" applyFont="1" applyFill="1" applyAlignment="1">
      <alignment horizontal="left"/>
    </xf>
    <xf numFmtId="0" fontId="43" fillId="14" borderId="0" xfId="2" applyFont="1" applyFill="1" applyAlignment="1">
      <alignment horizontal="center"/>
    </xf>
    <xf numFmtId="3" fontId="20" fillId="0" borderId="6" xfId="0" applyNumberFormat="1" applyFont="1" applyBorder="1" applyAlignment="1">
      <alignment horizontal="center"/>
    </xf>
    <xf numFmtId="0" fontId="2" fillId="4" borderId="1" xfId="2" applyFill="1" applyBorder="1" applyAlignment="1" applyProtection="1">
      <alignment horizontal="center" vertical="center"/>
      <protection locked="0"/>
    </xf>
    <xf numFmtId="0" fontId="2" fillId="4" borderId="12" xfId="2" applyFill="1" applyBorder="1" applyAlignment="1" applyProtection="1">
      <alignment horizontal="center" vertical="center"/>
      <protection locked="0"/>
    </xf>
    <xf numFmtId="0" fontId="2" fillId="4" borderId="20" xfId="2" applyFill="1" applyBorder="1" applyAlignment="1" applyProtection="1">
      <alignment horizontal="center" vertical="center"/>
      <protection locked="0"/>
    </xf>
    <xf numFmtId="167" fontId="0" fillId="0" borderId="22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0" fillId="0" borderId="23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1" fontId="5" fillId="10" borderId="40" xfId="2" applyNumberFormat="1" applyFont="1" applyFill="1" applyBorder="1" applyAlignment="1">
      <alignment horizontal="center" vertical="center" wrapText="1"/>
    </xf>
    <xf numFmtId="0" fontId="24" fillId="0" borderId="54" xfId="0" applyFont="1" applyBorder="1"/>
    <xf numFmtId="14" fontId="20" fillId="0" borderId="31" xfId="0" applyNumberFormat="1" applyFont="1" applyBorder="1" applyAlignment="1">
      <alignment horizontal="center"/>
    </xf>
    <xf numFmtId="0" fontId="20" fillId="0" borderId="6" xfId="0" applyFont="1" applyBorder="1"/>
    <xf numFmtId="0" fontId="20" fillId="0" borderId="6" xfId="0" applyFont="1" applyBorder="1" applyAlignment="1">
      <alignment horizontal="center"/>
    </xf>
    <xf numFmtId="166" fontId="2" fillId="0" borderId="33" xfId="7" applyNumberFormat="1" applyFont="1" applyBorder="1" applyAlignment="1">
      <alignment horizontal="center"/>
    </xf>
    <xf numFmtId="166" fontId="2" fillId="0" borderId="31" xfId="7" applyNumberFormat="1" applyFont="1" applyBorder="1" applyAlignment="1">
      <alignment horizontal="center"/>
    </xf>
    <xf numFmtId="166" fontId="2" fillId="0" borderId="7" xfId="7" applyNumberFormat="1" applyFont="1" applyBorder="1" applyAlignment="1">
      <alignment horizontal="center"/>
    </xf>
    <xf numFmtId="166" fontId="8" fillId="14" borderId="0" xfId="2" applyNumberFormat="1" applyFont="1" applyFill="1" applyAlignment="1">
      <alignment vertical="center"/>
    </xf>
    <xf numFmtId="14" fontId="24" fillId="0" borderId="12" xfId="0" applyNumberFormat="1" applyFont="1" applyBorder="1" applyAlignment="1">
      <alignment horizontal="center"/>
    </xf>
    <xf numFmtId="167" fontId="4" fillId="4" borderId="1" xfId="2" applyNumberFormat="1" applyFont="1" applyFill="1" applyBorder="1" applyAlignment="1" applyProtection="1">
      <alignment horizontal="center"/>
      <protection locked="0"/>
    </xf>
    <xf numFmtId="1" fontId="2" fillId="14" borderId="0" xfId="2" applyNumberFormat="1" applyFill="1"/>
    <xf numFmtId="9" fontId="2" fillId="14" borderId="0" xfId="2" applyNumberFormat="1" applyFill="1" applyAlignment="1">
      <alignment textRotation="255"/>
    </xf>
    <xf numFmtId="0" fontId="2" fillId="14" borderId="0" xfId="2" applyFill="1" applyAlignment="1">
      <alignment textRotation="255"/>
    </xf>
    <xf numFmtId="0" fontId="3" fillId="0" borderId="0" xfId="2" applyFont="1" applyAlignment="1">
      <alignment textRotation="255"/>
    </xf>
    <xf numFmtId="17" fontId="44" fillId="7" borderId="13" xfId="2" quotePrefix="1" applyNumberFormat="1" applyFont="1" applyFill="1" applyBorder="1" applyAlignment="1">
      <alignment horizontal="center" vertical="center"/>
    </xf>
    <xf numFmtId="14" fontId="24" fillId="0" borderId="1" xfId="0" applyNumberFormat="1" applyFont="1" applyBorder="1" applyAlignment="1">
      <alignment horizontal="center"/>
    </xf>
    <xf numFmtId="0" fontId="24" fillId="0" borderId="54" xfId="0" quotePrefix="1" applyFont="1" applyBorder="1" applyAlignment="1">
      <alignment vertical="center"/>
    </xf>
    <xf numFmtId="167" fontId="0" fillId="0" borderId="12" xfId="0" applyNumberFormat="1" applyBorder="1" applyAlignment="1">
      <alignment horizontal="left"/>
    </xf>
    <xf numFmtId="1" fontId="0" fillId="0" borderId="0" xfId="0" applyNumberFormat="1"/>
    <xf numFmtId="14" fontId="24" fillId="0" borderId="6" xfId="0" applyNumberFormat="1" applyFont="1" applyBorder="1" applyAlignment="1">
      <alignment horizontal="left"/>
    </xf>
    <xf numFmtId="3" fontId="25" fillId="0" borderId="1" xfId="9" applyNumberFormat="1" applyFont="1" applyBorder="1" applyAlignment="1">
      <alignment horizontal="center"/>
    </xf>
    <xf numFmtId="171" fontId="24" fillId="0" borderId="0" xfId="7" applyNumberFormat="1" applyFont="1" applyFill="1" applyBorder="1" applyAlignment="1">
      <alignment horizontal="center"/>
    </xf>
    <xf numFmtId="172" fontId="24" fillId="0" borderId="0" xfId="7" applyNumberFormat="1" applyFont="1" applyFill="1" applyBorder="1" applyAlignment="1">
      <alignment horizontal="center"/>
    </xf>
    <xf numFmtId="166" fontId="0" fillId="6" borderId="0" xfId="7" applyNumberFormat="1" applyFont="1" applyFill="1"/>
    <xf numFmtId="1" fontId="4" fillId="9" borderId="1" xfId="2" applyNumberFormat="1" applyFont="1" applyFill="1" applyBorder="1" applyAlignment="1" applyProtection="1">
      <alignment horizontal="center"/>
      <protection locked="0"/>
    </xf>
    <xf numFmtId="0" fontId="4" fillId="17" borderId="0" xfId="2" applyFont="1" applyFill="1" applyAlignment="1">
      <alignment horizontal="left"/>
    </xf>
    <xf numFmtId="0" fontId="4" fillId="17" borderId="0" xfId="2" applyFont="1" applyFill="1" applyAlignment="1">
      <alignment horizontal="center"/>
    </xf>
    <xf numFmtId="1" fontId="40" fillId="0" borderId="37" xfId="2" applyNumberFormat="1" applyFont="1" applyBorder="1" applyAlignment="1">
      <alignment horizontal="center"/>
    </xf>
    <xf numFmtId="0" fontId="0" fillId="0" borderId="1" xfId="0" applyBorder="1"/>
    <xf numFmtId="170" fontId="4" fillId="14" borderId="0" xfId="7" applyNumberFormat="1" applyFont="1" applyFill="1" applyAlignment="1">
      <alignment horizontal="center"/>
    </xf>
    <xf numFmtId="167" fontId="0" fillId="0" borderId="58" xfId="0" applyNumberFormat="1" applyBorder="1" applyAlignment="1">
      <alignment horizontal="center"/>
    </xf>
    <xf numFmtId="0" fontId="4" fillId="0" borderId="8" xfId="2" applyFont="1" applyBorder="1" applyAlignment="1">
      <alignment horizontal="center"/>
    </xf>
    <xf numFmtId="0" fontId="4" fillId="0" borderId="46" xfId="2" applyFont="1" applyBorder="1" applyAlignment="1">
      <alignment horizontal="center"/>
    </xf>
    <xf numFmtId="0" fontId="4" fillId="0" borderId="44" xfId="2" applyFont="1" applyBorder="1" applyAlignment="1">
      <alignment horizontal="center"/>
    </xf>
    <xf numFmtId="0" fontId="4" fillId="0" borderId="29" xfId="2" applyFont="1" applyBorder="1" applyAlignment="1">
      <alignment horizontal="center"/>
    </xf>
    <xf numFmtId="3" fontId="4" fillId="0" borderId="1" xfId="2" applyNumberFormat="1" applyFont="1" applyBorder="1" applyAlignment="1" applyProtection="1">
      <alignment horizontal="center"/>
      <protection locked="0"/>
    </xf>
    <xf numFmtId="3" fontId="4" fillId="0" borderId="8" xfId="2" applyNumberFormat="1" applyFont="1" applyBorder="1" applyAlignment="1" applyProtection="1">
      <alignment horizontal="center"/>
      <protection locked="0"/>
    </xf>
    <xf numFmtId="1" fontId="4" fillId="8" borderId="1" xfId="2" applyNumberFormat="1" applyFont="1" applyFill="1" applyBorder="1" applyAlignment="1" applyProtection="1">
      <alignment horizontal="center"/>
      <protection locked="0"/>
    </xf>
    <xf numFmtId="0" fontId="2" fillId="4" borderId="41" xfId="2" applyFill="1" applyBorder="1" applyAlignment="1" applyProtection="1">
      <alignment horizontal="center" vertical="center"/>
      <protection locked="0"/>
    </xf>
    <xf numFmtId="0" fontId="45" fillId="14" borderId="0" xfId="0" applyFont="1" applyFill="1" applyAlignment="1">
      <alignment horizontal="center"/>
    </xf>
    <xf numFmtId="16" fontId="24" fillId="0" borderId="6" xfId="0" applyNumberFormat="1" applyFont="1" applyBorder="1"/>
    <xf numFmtId="1" fontId="4" fillId="9" borderId="2" xfId="2" applyNumberFormat="1" applyFont="1" applyFill="1" applyBorder="1" applyAlignment="1" applyProtection="1">
      <alignment horizontal="center"/>
      <protection locked="0"/>
    </xf>
    <xf numFmtId="0" fontId="46" fillId="0" borderId="2" xfId="0" applyFont="1" applyBorder="1" applyProtection="1">
      <protection locked="0"/>
    </xf>
    <xf numFmtId="167" fontId="0" fillId="3" borderId="1" xfId="0" applyNumberFormat="1" applyFill="1" applyBorder="1" applyAlignment="1">
      <alignment horizontal="center"/>
    </xf>
    <xf numFmtId="167" fontId="0" fillId="3" borderId="1" xfId="0" applyNumberFormat="1" applyFill="1" applyBorder="1" applyAlignment="1">
      <alignment horizontal="center" wrapText="1"/>
    </xf>
    <xf numFmtId="0" fontId="25" fillId="0" borderId="38" xfId="9" applyFont="1" applyBorder="1" applyAlignment="1">
      <alignment horizontal="left"/>
    </xf>
    <xf numFmtId="0" fontId="22" fillId="0" borderId="6" xfId="9" applyFont="1" applyBorder="1" applyAlignment="1">
      <alignment horizontal="left"/>
    </xf>
    <xf numFmtId="167" fontId="31" fillId="19" borderId="1" xfId="0" applyNumberFormat="1" applyFont="1" applyFill="1" applyBorder="1" applyAlignment="1">
      <alignment horizontal="center"/>
    </xf>
    <xf numFmtId="0" fontId="10" fillId="7" borderId="22" xfId="2" applyFont="1" applyFill="1" applyBorder="1" applyAlignment="1">
      <alignment horizontal="center" vertical="center"/>
    </xf>
    <xf numFmtId="165" fontId="12" fillId="7" borderId="7" xfId="2" applyNumberFormat="1" applyFont="1" applyFill="1" applyBorder="1" applyAlignment="1">
      <alignment horizontal="right" vertical="center"/>
    </xf>
    <xf numFmtId="165" fontId="12" fillId="7" borderId="8" xfId="2" applyNumberFormat="1" applyFont="1" applyFill="1" applyBorder="1" applyAlignment="1">
      <alignment horizontal="right" vertical="center"/>
    </xf>
    <xf numFmtId="0" fontId="10" fillId="7" borderId="13" xfId="2" applyFont="1" applyFill="1" applyBorder="1" applyAlignment="1">
      <alignment horizontal="center" vertical="center"/>
    </xf>
    <xf numFmtId="0" fontId="10" fillId="7" borderId="26" xfId="2" applyFont="1" applyFill="1" applyBorder="1" applyAlignment="1">
      <alignment horizontal="center" vertical="center"/>
    </xf>
    <xf numFmtId="1" fontId="4" fillId="0" borderId="3" xfId="2" applyNumberFormat="1" applyFont="1" applyBorder="1" applyAlignment="1" applyProtection="1">
      <alignment horizontal="center"/>
      <protection locked="0"/>
    </xf>
    <xf numFmtId="1" fontId="4" fillId="0" borderId="4" xfId="2" applyNumberFormat="1" applyFont="1" applyBorder="1" applyAlignment="1" applyProtection="1">
      <alignment horizontal="center"/>
      <protection locked="0"/>
    </xf>
    <xf numFmtId="1" fontId="4" fillId="0" borderId="5" xfId="2" applyNumberFormat="1" applyFont="1" applyBorder="1" applyAlignment="1" applyProtection="1">
      <alignment horizontal="center"/>
      <protection locked="0"/>
    </xf>
    <xf numFmtId="1" fontId="4" fillId="0" borderId="19" xfId="2" applyNumberFormat="1" applyFont="1" applyBorder="1" applyAlignment="1" applyProtection="1">
      <alignment horizontal="center"/>
      <protection locked="0"/>
    </xf>
    <xf numFmtId="1" fontId="4" fillId="0" borderId="20" xfId="2" applyNumberFormat="1" applyFont="1" applyBorder="1" applyAlignment="1" applyProtection="1">
      <alignment horizontal="center"/>
      <protection locked="0"/>
    </xf>
    <xf numFmtId="1" fontId="4" fillId="0" borderId="21" xfId="2" applyNumberFormat="1" applyFont="1" applyBorder="1" applyAlignment="1" applyProtection="1">
      <alignment horizontal="center"/>
      <protection locked="0"/>
    </xf>
    <xf numFmtId="0" fontId="2" fillId="20" borderId="12" xfId="2" applyFill="1" applyBorder="1" applyAlignment="1" applyProtection="1">
      <alignment horizontal="center" vertical="center"/>
      <protection locked="0"/>
    </xf>
    <xf numFmtId="0" fontId="6" fillId="20" borderId="1" xfId="2" applyFont="1" applyFill="1" applyBorder="1" applyAlignment="1">
      <alignment horizontal="left"/>
    </xf>
    <xf numFmtId="1" fontId="4" fillId="0" borderId="13" xfId="2" applyNumberFormat="1" applyFont="1" applyBorder="1" applyAlignment="1" applyProtection="1">
      <alignment horizontal="center"/>
      <protection locked="0"/>
    </xf>
    <xf numFmtId="1" fontId="4" fillId="0" borderId="26" xfId="2" applyNumberFormat="1" applyFont="1" applyBorder="1" applyAlignment="1" applyProtection="1">
      <alignment horizontal="center"/>
      <protection locked="0"/>
    </xf>
    <xf numFmtId="167" fontId="0" fillId="0" borderId="38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167" fontId="0" fillId="0" borderId="30" xfId="0" applyNumberFormat="1" applyBorder="1" applyAlignment="1">
      <alignment horizontal="center"/>
    </xf>
    <xf numFmtId="167" fontId="0" fillId="0" borderId="31" xfId="0" applyNumberFormat="1" applyBorder="1" applyAlignment="1">
      <alignment horizontal="center"/>
    </xf>
    <xf numFmtId="167" fontId="0" fillId="3" borderId="6" xfId="0" applyNumberFormat="1" applyFill="1" applyBorder="1" applyAlignment="1">
      <alignment horizontal="center"/>
    </xf>
    <xf numFmtId="0" fontId="0" fillId="0" borderId="45" xfId="0" applyBorder="1" applyAlignment="1">
      <alignment horizontal="center"/>
    </xf>
    <xf numFmtId="1" fontId="4" fillId="3" borderId="1" xfId="2" applyNumberFormat="1" applyFont="1" applyFill="1" applyBorder="1" applyAlignment="1" applyProtection="1">
      <alignment horizontal="center"/>
      <protection locked="0"/>
    </xf>
    <xf numFmtId="0" fontId="4" fillId="0" borderId="30" xfId="2" applyFont="1" applyBorder="1" applyAlignment="1">
      <alignment horizontal="left"/>
    </xf>
    <xf numFmtId="0" fontId="25" fillId="0" borderId="6" xfId="9" quotePrefix="1" applyFont="1" applyBorder="1" applyAlignment="1">
      <alignment horizontal="left"/>
    </xf>
    <xf numFmtId="1" fontId="0" fillId="0" borderId="47" xfId="0" applyNumberFormat="1" applyBorder="1" applyAlignment="1">
      <alignment horizontal="center"/>
    </xf>
    <xf numFmtId="165" fontId="12" fillId="13" borderId="1" xfId="2" applyNumberFormat="1" applyFont="1" applyFill="1" applyBorder="1" applyAlignment="1">
      <alignment horizontal="right" vertical="center"/>
    </xf>
    <xf numFmtId="169" fontId="25" fillId="0" borderId="1" xfId="8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66" fontId="25" fillId="0" borderId="1" xfId="7" applyNumberFormat="1" applyFont="1" applyBorder="1" applyAlignment="1">
      <alignment horizontal="center"/>
    </xf>
    <xf numFmtId="0" fontId="0" fillId="3" borderId="0" xfId="0" applyFill="1"/>
    <xf numFmtId="9" fontId="24" fillId="0" borderId="6" xfId="8" applyFont="1" applyBorder="1" applyAlignment="1">
      <alignment horizontal="center"/>
    </xf>
    <xf numFmtId="168" fontId="25" fillId="0" borderId="6" xfId="8" applyNumberFormat="1" applyFont="1" applyBorder="1" applyAlignment="1">
      <alignment horizontal="center"/>
    </xf>
    <xf numFmtId="166" fontId="25" fillId="0" borderId="6" xfId="7" applyNumberFormat="1" applyFont="1" applyBorder="1" applyAlignment="1">
      <alignment horizontal="center"/>
    </xf>
    <xf numFmtId="0" fontId="25" fillId="16" borderId="6" xfId="9" applyFont="1" applyFill="1" applyBorder="1" applyAlignment="1">
      <alignment horizontal="left"/>
    </xf>
    <xf numFmtId="0" fontId="4" fillId="0" borderId="1" xfId="2" applyFont="1" applyBorder="1"/>
    <xf numFmtId="1" fontId="4" fillId="0" borderId="0" xfId="2" applyNumberFormat="1" applyFont="1" applyAlignment="1" applyProtection="1">
      <alignment horizontal="center"/>
      <protection locked="0"/>
    </xf>
    <xf numFmtId="0" fontId="25" fillId="0" borderId="20" xfId="9" applyFont="1" applyBorder="1" applyAlignment="1">
      <alignment horizontal="left"/>
    </xf>
    <xf numFmtId="0" fontId="24" fillId="0" borderId="54" xfId="0" applyFont="1" applyBorder="1" applyAlignment="1">
      <alignment horizontal="left"/>
    </xf>
    <xf numFmtId="166" fontId="24" fillId="22" borderId="0" xfId="7" applyNumberFormat="1" applyFont="1" applyFill="1" applyBorder="1" applyAlignment="1">
      <alignment horizontal="center"/>
    </xf>
    <xf numFmtId="0" fontId="24" fillId="22" borderId="0" xfId="0" applyFont="1" applyFill="1" applyAlignment="1">
      <alignment horizontal="right"/>
    </xf>
    <xf numFmtId="168" fontId="24" fillId="22" borderId="0" xfId="8" applyNumberFormat="1" applyFont="1" applyFill="1" applyBorder="1" applyAlignment="1">
      <alignment horizontal="right"/>
    </xf>
    <xf numFmtId="0" fontId="22" fillId="22" borderId="15" xfId="0" applyFont="1" applyFill="1" applyBorder="1" applyAlignment="1">
      <alignment horizontal="center"/>
    </xf>
    <xf numFmtId="166" fontId="24" fillId="22" borderId="59" xfId="7" applyNumberFormat="1" applyFont="1" applyFill="1" applyBorder="1" applyAlignment="1">
      <alignment horizontal="center"/>
    </xf>
    <xf numFmtId="0" fontId="20" fillId="22" borderId="15" xfId="0" applyFont="1" applyFill="1" applyBorder="1" applyAlignment="1">
      <alignment horizontal="left" vertical="center"/>
    </xf>
    <xf numFmtId="0" fontId="24" fillId="22" borderId="59" xfId="0" applyFont="1" applyFill="1" applyBorder="1" applyAlignment="1">
      <alignment horizontal="right"/>
    </xf>
    <xf numFmtId="0" fontId="24" fillId="22" borderId="59" xfId="0" applyFont="1" applyFill="1" applyBorder="1" applyAlignment="1">
      <alignment horizontal="center"/>
    </xf>
    <xf numFmtId="168" fontId="24" fillId="22" borderId="59" xfId="8" applyNumberFormat="1" applyFont="1" applyFill="1" applyBorder="1" applyAlignment="1">
      <alignment horizontal="right"/>
    </xf>
    <xf numFmtId="0" fontId="22" fillId="22" borderId="22" xfId="0" applyFont="1" applyFill="1" applyBorder="1" applyAlignment="1">
      <alignment horizontal="center"/>
    </xf>
    <xf numFmtId="168" fontId="24" fillId="22" borderId="28" xfId="8" applyNumberFormat="1" applyFont="1" applyFill="1" applyBorder="1" applyAlignment="1">
      <alignment horizontal="right"/>
    </xf>
    <xf numFmtId="168" fontId="24" fillId="22" borderId="56" xfId="8" applyNumberFormat="1" applyFont="1" applyFill="1" applyBorder="1" applyAlignment="1">
      <alignment horizontal="right"/>
    </xf>
    <xf numFmtId="0" fontId="22" fillId="20" borderId="15" xfId="0" applyFont="1" applyFill="1" applyBorder="1" applyAlignment="1">
      <alignment horizontal="center"/>
    </xf>
    <xf numFmtId="166" fontId="24" fillId="20" borderId="0" xfId="7" applyNumberFormat="1" applyFont="1" applyFill="1" applyBorder="1" applyAlignment="1">
      <alignment horizontal="center"/>
    </xf>
    <xf numFmtId="166" fontId="24" fillId="20" borderId="59" xfId="7" applyNumberFormat="1" applyFont="1" applyFill="1" applyBorder="1" applyAlignment="1">
      <alignment horizontal="center"/>
    </xf>
    <xf numFmtId="0" fontId="20" fillId="20" borderId="15" xfId="0" applyFont="1" applyFill="1" applyBorder="1" applyAlignment="1">
      <alignment horizontal="left" vertical="center"/>
    </xf>
    <xf numFmtId="3" fontId="24" fillId="20" borderId="0" xfId="0" applyNumberFormat="1" applyFont="1" applyFill="1" applyAlignment="1">
      <alignment horizontal="right"/>
    </xf>
    <xf numFmtId="3" fontId="24" fillId="20" borderId="59" xfId="0" applyNumberFormat="1" applyFont="1" applyFill="1" applyBorder="1" applyAlignment="1">
      <alignment horizontal="right"/>
    </xf>
    <xf numFmtId="0" fontId="24" fillId="20" borderId="59" xfId="0" applyFont="1" applyFill="1" applyBorder="1" applyAlignment="1">
      <alignment horizontal="center"/>
    </xf>
    <xf numFmtId="0" fontId="22" fillId="20" borderId="22" xfId="0" applyFont="1" applyFill="1" applyBorder="1" applyAlignment="1">
      <alignment horizontal="center"/>
    </xf>
    <xf numFmtId="168" fontId="24" fillId="20" borderId="28" xfId="8" applyNumberFormat="1" applyFont="1" applyFill="1" applyBorder="1" applyAlignment="1">
      <alignment horizontal="right"/>
    </xf>
    <xf numFmtId="168" fontId="24" fillId="20" borderId="56" xfId="8" applyNumberFormat="1" applyFont="1" applyFill="1" applyBorder="1" applyAlignment="1">
      <alignment horizontal="right"/>
    </xf>
    <xf numFmtId="3" fontId="24" fillId="0" borderId="6" xfId="7" applyNumberFormat="1" applyFont="1" applyBorder="1" applyAlignment="1">
      <alignment horizontal="center" vertical="center"/>
    </xf>
    <xf numFmtId="167" fontId="0" fillId="0" borderId="37" xfId="0" applyNumberFormat="1" applyBorder="1" applyAlignment="1">
      <alignment horizontal="center"/>
    </xf>
    <xf numFmtId="167" fontId="0" fillId="0" borderId="60" xfId="0" applyNumberFormat="1" applyBorder="1" applyAlignment="1">
      <alignment horizontal="center"/>
    </xf>
    <xf numFmtId="167" fontId="0" fillId="0" borderId="61" xfId="0" applyNumberFormat="1" applyBorder="1" applyAlignment="1">
      <alignment horizontal="center"/>
    </xf>
    <xf numFmtId="0" fontId="4" fillId="0" borderId="60" xfId="2" applyFont="1" applyBorder="1" applyAlignment="1">
      <alignment horizontal="center"/>
    </xf>
    <xf numFmtId="0" fontId="24" fillId="7" borderId="47" xfId="0" applyFont="1" applyFill="1" applyBorder="1" applyAlignment="1">
      <alignment horizontal="center"/>
    </xf>
    <xf numFmtId="17" fontId="24" fillId="0" borderId="6" xfId="0" applyNumberFormat="1" applyFont="1" applyBorder="1" applyAlignment="1">
      <alignment horizontal="left"/>
    </xf>
    <xf numFmtId="166" fontId="21" fillId="0" borderId="0" xfId="7" applyNumberFormat="1" applyFont="1" applyAlignment="1">
      <alignment horizontal="center"/>
    </xf>
    <xf numFmtId="0" fontId="49" fillId="14" borderId="0" xfId="0" applyFont="1" applyFill="1" applyAlignment="1">
      <alignment horizontal="center"/>
    </xf>
    <xf numFmtId="170" fontId="21" fillId="14" borderId="0" xfId="0" applyNumberFormat="1" applyFont="1" applyFill="1" applyAlignment="1">
      <alignment horizontal="center"/>
    </xf>
    <xf numFmtId="9" fontId="0" fillId="0" borderId="0" xfId="8" applyFont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23" borderId="0" xfId="0" applyFill="1"/>
    <xf numFmtId="166" fontId="0" fillId="0" borderId="0" xfId="7" applyNumberFormat="1" applyFont="1" applyAlignment="1">
      <alignment horizontal="center" vertical="center"/>
    </xf>
    <xf numFmtId="166" fontId="0" fillId="0" borderId="54" xfId="7" applyNumberFormat="1" applyFont="1" applyBorder="1" applyAlignment="1">
      <alignment horizontal="center" vertical="center"/>
    </xf>
    <xf numFmtId="1" fontId="5" fillId="18" borderId="48" xfId="2" applyNumberFormat="1" applyFont="1" applyFill="1" applyBorder="1" applyAlignment="1">
      <alignment horizontal="center" vertical="center" wrapText="1"/>
    </xf>
    <xf numFmtId="167" fontId="0" fillId="0" borderId="62" xfId="0" applyNumberFormat="1" applyBorder="1" applyAlignment="1">
      <alignment horizontal="center"/>
    </xf>
    <xf numFmtId="1" fontId="12" fillId="11" borderId="63" xfId="2" applyNumberFormat="1" applyFont="1" applyFill="1" applyBorder="1" applyAlignment="1">
      <alignment horizontal="center" vertical="center" wrapText="1"/>
    </xf>
    <xf numFmtId="0" fontId="24" fillId="0" borderId="1" xfId="0" applyFont="1" applyBorder="1"/>
    <xf numFmtId="9" fontId="0" fillId="0" borderId="0" xfId="8" applyFont="1"/>
    <xf numFmtId="0" fontId="51" fillId="0" borderId="0" xfId="0" applyFont="1"/>
    <xf numFmtId="0" fontId="52" fillId="0" borderId="0" xfId="0" applyFont="1"/>
    <xf numFmtId="173" fontId="52" fillId="0" borderId="0" xfId="0" applyNumberFormat="1" applyFont="1"/>
    <xf numFmtId="9" fontId="52" fillId="0" borderId="0" xfId="8" applyFont="1" applyFill="1" applyBorder="1"/>
    <xf numFmtId="166" fontId="52" fillId="0" borderId="0" xfId="0" applyNumberFormat="1" applyFont="1"/>
    <xf numFmtId="0" fontId="52" fillId="0" borderId="0" xfId="0" applyFont="1" applyAlignment="1">
      <alignment horizontal="center"/>
    </xf>
    <xf numFmtId="9" fontId="52" fillId="0" borderId="0" xfId="8" applyFont="1" applyFill="1" applyBorder="1" applyAlignment="1">
      <alignment horizontal="center"/>
    </xf>
    <xf numFmtId="0" fontId="52" fillId="0" borderId="0" xfId="0" applyFont="1" applyAlignment="1">
      <alignment horizontal="center" vertical="center"/>
    </xf>
    <xf numFmtId="9" fontId="52" fillId="0" borderId="0" xfId="8" applyFont="1" applyFill="1" applyBorder="1" applyAlignment="1">
      <alignment horizontal="center" vertical="center"/>
    </xf>
    <xf numFmtId="0" fontId="52" fillId="0" borderId="28" xfId="0" applyFont="1" applyBorder="1"/>
    <xf numFmtId="9" fontId="52" fillId="0" borderId="0" xfId="0" applyNumberFormat="1" applyFont="1"/>
    <xf numFmtId="0" fontId="50" fillId="0" borderId="0" xfId="0" applyFont="1"/>
    <xf numFmtId="9" fontId="0" fillId="0" borderId="0" xfId="0" applyNumberFormat="1"/>
    <xf numFmtId="0" fontId="0" fillId="0" borderId="54" xfId="0" applyBorder="1"/>
    <xf numFmtId="0" fontId="53" fillId="14" borderId="0" xfId="0" applyFont="1" applyFill="1" applyAlignment="1">
      <alignment horizontal="left" vertical="center"/>
    </xf>
    <xf numFmtId="0" fontId="12" fillId="11" borderId="10" xfId="2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horizontal="center"/>
    </xf>
    <xf numFmtId="168" fontId="4" fillId="0" borderId="64" xfId="4" applyNumberFormat="1" applyFont="1" applyFill="1" applyBorder="1" applyAlignment="1" applyProtection="1">
      <alignment horizontal="center"/>
      <protection locked="0"/>
    </xf>
    <xf numFmtId="168" fontId="4" fillId="0" borderId="65" xfId="4" applyNumberFormat="1" applyFont="1" applyFill="1" applyBorder="1" applyAlignment="1" applyProtection="1">
      <alignment horizontal="center"/>
      <protection locked="0"/>
    </xf>
    <xf numFmtId="168" fontId="4" fillId="0" borderId="66" xfId="4" applyNumberFormat="1" applyFont="1" applyFill="1" applyBorder="1" applyAlignment="1" applyProtection="1">
      <alignment horizontal="center"/>
      <protection locked="0"/>
    </xf>
    <xf numFmtId="168" fontId="4" fillId="0" borderId="1" xfId="4" applyNumberFormat="1" applyFont="1" applyFill="1" applyBorder="1" applyAlignment="1" applyProtection="1">
      <alignment horizontal="center"/>
      <protection locked="0"/>
    </xf>
    <xf numFmtId="168" fontId="4" fillId="0" borderId="67" xfId="4" applyNumberFormat="1" applyFont="1" applyFill="1" applyBorder="1" applyAlignment="1" applyProtection="1">
      <alignment horizontal="center"/>
      <protection locked="0"/>
    </xf>
    <xf numFmtId="1" fontId="40" fillId="0" borderId="62" xfId="2" applyNumberFormat="1" applyFont="1" applyBorder="1" applyAlignment="1">
      <alignment horizontal="center"/>
    </xf>
    <xf numFmtId="168" fontId="4" fillId="0" borderId="4" xfId="4" applyNumberFormat="1" applyFont="1" applyFill="1" applyBorder="1" applyAlignment="1" applyProtection="1">
      <alignment horizontal="center"/>
      <protection locked="0"/>
    </xf>
    <xf numFmtId="2" fontId="0" fillId="0" borderId="0" xfId="0" applyNumberFormat="1"/>
    <xf numFmtId="9" fontId="52" fillId="0" borderId="0" xfId="8" applyFont="1"/>
    <xf numFmtId="0" fontId="52" fillId="0" borderId="54" xfId="0" applyFont="1" applyBorder="1"/>
    <xf numFmtId="166" fontId="52" fillId="0" borderId="54" xfId="0" applyNumberFormat="1" applyFont="1" applyBorder="1"/>
    <xf numFmtId="0" fontId="31" fillId="23" borderId="0" xfId="0" applyFont="1" applyFill="1"/>
    <xf numFmtId="16" fontId="0" fillId="0" borderId="0" xfId="0" applyNumberFormat="1"/>
    <xf numFmtId="3" fontId="0" fillId="0" borderId="0" xfId="0" applyNumberFormat="1"/>
    <xf numFmtId="168" fontId="0" fillId="0" borderId="0" xfId="0" applyNumberFormat="1"/>
    <xf numFmtId="3" fontId="0" fillId="0" borderId="68" xfId="0" applyNumberFormat="1" applyBorder="1"/>
    <xf numFmtId="0" fontId="50" fillId="0" borderId="1" xfId="0" applyFont="1" applyBorder="1"/>
    <xf numFmtId="3" fontId="50" fillId="25" borderId="68" xfId="0" applyNumberFormat="1" applyFont="1" applyFill="1" applyBorder="1"/>
    <xf numFmtId="0" fontId="21" fillId="0" borderId="44" xfId="0" applyFont="1" applyBorder="1" applyAlignment="1">
      <alignment horizontal="center"/>
    </xf>
    <xf numFmtId="0" fontId="21" fillId="0" borderId="45" xfId="0" applyFont="1" applyBorder="1" applyAlignment="1">
      <alignment horizontal="center"/>
    </xf>
    <xf numFmtId="0" fontId="24" fillId="0" borderId="2" xfId="0" applyFont="1" applyBorder="1" applyAlignment="1">
      <alignment vertical="center"/>
    </xf>
    <xf numFmtId="0" fontId="21" fillId="3" borderId="36" xfId="0" applyFont="1" applyFill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/>
    </xf>
    <xf numFmtId="0" fontId="21" fillId="0" borderId="37" xfId="0" applyFont="1" applyBorder="1" applyAlignment="1">
      <alignment horizontal="center"/>
    </xf>
    <xf numFmtId="0" fontId="51" fillId="0" borderId="0" xfId="0" applyFont="1" applyAlignment="1">
      <alignment horizontal="center"/>
    </xf>
    <xf numFmtId="0" fontId="0" fillId="0" borderId="28" xfId="0" applyBorder="1"/>
    <xf numFmtId="0" fontId="20" fillId="0" borderId="54" xfId="0" applyFont="1" applyBorder="1" applyAlignment="1">
      <alignment vertical="center"/>
    </xf>
    <xf numFmtId="3" fontId="0" fillId="3" borderId="68" xfId="0" applyNumberFormat="1" applyFill="1" applyBorder="1"/>
    <xf numFmtId="0" fontId="50" fillId="0" borderId="0" xfId="0" applyFont="1" applyAlignment="1">
      <alignment horizontal="center"/>
    </xf>
    <xf numFmtId="166" fontId="50" fillId="3" borderId="0" xfId="7" applyNumberFormat="1" applyFont="1" applyFill="1"/>
    <xf numFmtId="3" fontId="50" fillId="0" borderId="0" xfId="0" applyNumberFormat="1" applyFont="1"/>
    <xf numFmtId="166" fontId="50" fillId="0" borderId="0" xfId="7" applyNumberFormat="1" applyFont="1" applyFill="1"/>
    <xf numFmtId="0" fontId="25" fillId="16" borderId="6" xfId="9" applyFont="1" applyFill="1" applyBorder="1" applyAlignment="1">
      <alignment horizontal="center"/>
    </xf>
    <xf numFmtId="14" fontId="25" fillId="0" borderId="6" xfId="9" applyNumberFormat="1" applyFont="1" applyBorder="1" applyAlignment="1">
      <alignment horizontal="center"/>
    </xf>
    <xf numFmtId="0" fontId="25" fillId="0" borderId="20" xfId="9" applyFont="1" applyBorder="1" applyAlignment="1">
      <alignment horizontal="center"/>
    </xf>
    <xf numFmtId="0" fontId="0" fillId="26" borderId="0" xfId="0" applyFill="1"/>
    <xf numFmtId="3" fontId="50" fillId="3" borderId="68" xfId="0" applyNumberFormat="1" applyFont="1" applyFill="1" applyBorder="1"/>
    <xf numFmtId="0" fontId="24" fillId="0" borderId="54" xfId="0" applyFont="1" applyBorder="1" applyAlignment="1">
      <alignment horizontal="left" vertical="center"/>
    </xf>
    <xf numFmtId="1" fontId="40" fillId="0" borderId="60" xfId="2" applyNumberFormat="1" applyFont="1" applyBorder="1" applyAlignment="1">
      <alignment horizontal="center"/>
    </xf>
    <xf numFmtId="168" fontId="4" fillId="0" borderId="6" xfId="4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25" fillId="0" borderId="19" xfId="9" applyNumberFormat="1" applyFont="1" applyBorder="1" applyAlignment="1">
      <alignment horizontal="center"/>
    </xf>
    <xf numFmtId="14" fontId="24" fillId="0" borderId="20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9" fontId="24" fillId="0" borderId="0" xfId="8" applyFont="1" applyFill="1" applyBorder="1" applyAlignment="1">
      <alignment horizontal="center"/>
    </xf>
    <xf numFmtId="0" fontId="24" fillId="22" borderId="15" xfId="0" applyFont="1" applyFill="1" applyBorder="1" applyAlignment="1">
      <alignment horizontal="center"/>
    </xf>
    <xf numFmtId="0" fontId="24" fillId="22" borderId="0" xfId="0" applyFont="1" applyFill="1" applyAlignment="1">
      <alignment horizontal="center"/>
    </xf>
    <xf numFmtId="3" fontId="24" fillId="14" borderId="0" xfId="0" applyNumberFormat="1" applyFont="1" applyFill="1" applyAlignment="1">
      <alignment horizontal="center"/>
    </xf>
    <xf numFmtId="14" fontId="25" fillId="14" borderId="0" xfId="9" applyNumberFormat="1" applyFont="1" applyFill="1" applyAlignment="1">
      <alignment horizontal="center"/>
    </xf>
    <xf numFmtId="14" fontId="20" fillId="14" borderId="0" xfId="0" applyNumberFormat="1" applyFont="1" applyFill="1" applyAlignment="1">
      <alignment horizontal="center"/>
    </xf>
    <xf numFmtId="0" fontId="24" fillId="14" borderId="0" xfId="0" applyFont="1" applyFill="1" applyAlignment="1">
      <alignment vertical="center"/>
    </xf>
    <xf numFmtId="0" fontId="27" fillId="0" borderId="6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16" borderId="54" xfId="0" applyFont="1" applyFill="1" applyBorder="1" applyAlignment="1">
      <alignment vertical="center"/>
    </xf>
    <xf numFmtId="14" fontId="20" fillId="0" borderId="12" xfId="0" applyNumberFormat="1" applyFont="1" applyBorder="1" applyAlignment="1">
      <alignment horizontal="center"/>
    </xf>
    <xf numFmtId="16" fontId="0" fillId="0" borderId="47" xfId="0" quotePrefix="1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56" fillId="0" borderId="0" xfId="0" applyFont="1"/>
    <xf numFmtId="167" fontId="0" fillId="0" borderId="54" xfId="0" applyNumberFormat="1" applyBorder="1" applyAlignment="1">
      <alignment horizontal="center"/>
    </xf>
    <xf numFmtId="0" fontId="54" fillId="0" borderId="0" xfId="0" applyFont="1" applyAlignment="1">
      <alignment wrapText="1"/>
    </xf>
    <xf numFmtId="0" fontId="54" fillId="0" borderId="0" xfId="0" applyFont="1"/>
    <xf numFmtId="9" fontId="54" fillId="0" borderId="0" xfId="0" applyNumberFormat="1" applyFont="1"/>
    <xf numFmtId="3" fontId="54" fillId="0" borderId="0" xfId="0" applyNumberFormat="1" applyFont="1"/>
    <xf numFmtId="166" fontId="0" fillId="0" borderId="28" xfId="0" applyNumberFormat="1" applyBorder="1"/>
    <xf numFmtId="9" fontId="0" fillId="0" borderId="28" xfId="0" applyNumberFormat="1" applyBorder="1"/>
    <xf numFmtId="0" fontId="58" fillId="23" borderId="0" xfId="0" applyFont="1" applyFill="1"/>
    <xf numFmtId="173" fontId="0" fillId="0" borderId="0" xfId="0" applyNumberFormat="1"/>
    <xf numFmtId="167" fontId="0" fillId="3" borderId="7" xfId="0" applyNumberFormat="1" applyFill="1" applyBorder="1" applyAlignment="1">
      <alignment horizontal="center"/>
    </xf>
    <xf numFmtId="1" fontId="4" fillId="2" borderId="53" xfId="2" applyNumberFormat="1" applyFont="1" applyFill="1" applyBorder="1" applyAlignment="1">
      <alignment horizontal="center"/>
    </xf>
    <xf numFmtId="1" fontId="4" fillId="2" borderId="17" xfId="2" applyNumberFormat="1" applyFont="1" applyFill="1" applyBorder="1" applyAlignment="1">
      <alignment horizontal="center"/>
    </xf>
    <xf numFmtId="0" fontId="40" fillId="0" borderId="60" xfId="2" applyFont="1" applyBorder="1" applyAlignment="1">
      <alignment horizontal="left"/>
    </xf>
    <xf numFmtId="0" fontId="40" fillId="0" borderId="66" xfId="2" applyFont="1" applyBorder="1" applyAlignment="1">
      <alignment horizontal="left"/>
    </xf>
    <xf numFmtId="0" fontId="40" fillId="0" borderId="61" xfId="2" applyFont="1" applyBorder="1" applyAlignment="1">
      <alignment horizontal="left"/>
    </xf>
    <xf numFmtId="0" fontId="40" fillId="0" borderId="65" xfId="2" applyFont="1" applyBorder="1" applyAlignment="1">
      <alignment horizontal="left"/>
    </xf>
    <xf numFmtId="0" fontId="40" fillId="0" borderId="67" xfId="2" applyFont="1" applyBorder="1" applyAlignment="1">
      <alignment horizontal="left"/>
    </xf>
    <xf numFmtId="0" fontId="40" fillId="0" borderId="47" xfId="2" applyFont="1" applyBorder="1" applyAlignment="1">
      <alignment horizontal="left"/>
    </xf>
    <xf numFmtId="0" fontId="40" fillId="0" borderId="1" xfId="2" applyFont="1" applyBorder="1" applyAlignment="1">
      <alignment horizontal="left"/>
    </xf>
    <xf numFmtId="0" fontId="59" fillId="0" borderId="29" xfId="0" applyFont="1" applyBorder="1"/>
    <xf numFmtId="0" fontId="60" fillId="0" borderId="0" xfId="0" applyFont="1"/>
    <xf numFmtId="0" fontId="61" fillId="0" borderId="0" xfId="11"/>
    <xf numFmtId="0" fontId="62" fillId="0" borderId="0" xfId="0" applyFont="1"/>
    <xf numFmtId="14" fontId="0" fillId="0" borderId="0" xfId="0" applyNumberFormat="1"/>
    <xf numFmtId="0" fontId="63" fillId="0" borderId="0" xfId="0" applyFont="1"/>
    <xf numFmtId="0" fontId="31" fillId="27" borderId="0" xfId="0" applyFont="1" applyFill="1"/>
    <xf numFmtId="3" fontId="0" fillId="18" borderId="0" xfId="0" applyNumberFormat="1" applyFill="1"/>
    <xf numFmtId="0" fontId="64" fillId="0" borderId="0" xfId="0" applyFont="1"/>
    <xf numFmtId="0" fontId="65" fillId="0" borderId="0" xfId="0" applyFont="1"/>
    <xf numFmtId="0" fontId="0" fillId="27" borderId="0" xfId="0" applyFill="1"/>
    <xf numFmtId="3" fontId="0" fillId="3" borderId="0" xfId="0" applyNumberFormat="1" applyFill="1"/>
    <xf numFmtId="0" fontId="66" fillId="3" borderId="0" xfId="0" applyFont="1" applyFill="1"/>
    <xf numFmtId="0" fontId="67" fillId="0" borderId="0" xfId="0" applyFont="1"/>
    <xf numFmtId="1" fontId="40" fillId="0" borderId="30" xfId="2" applyNumberFormat="1" applyFont="1" applyBorder="1" applyAlignment="1">
      <alignment horizontal="center"/>
    </xf>
    <xf numFmtId="167" fontId="0" fillId="0" borderId="66" xfId="0" applyNumberFormat="1" applyBorder="1" applyAlignment="1">
      <alignment horizontal="center"/>
    </xf>
    <xf numFmtId="168" fontId="4" fillId="0" borderId="54" xfId="4" applyNumberFormat="1" applyFont="1" applyFill="1" applyBorder="1" applyAlignment="1" applyProtection="1">
      <alignment horizontal="center"/>
      <protection locked="0"/>
    </xf>
    <xf numFmtId="0" fontId="0" fillId="28" borderId="0" xfId="0" applyFill="1"/>
    <xf numFmtId="170" fontId="20" fillId="0" borderId="6" xfId="7" applyNumberFormat="1" applyFont="1" applyBorder="1" applyAlignment="1">
      <alignment horizontal="center"/>
    </xf>
    <xf numFmtId="168" fontId="25" fillId="0" borderId="38" xfId="8" applyNumberFormat="1" applyFont="1" applyBorder="1" applyAlignment="1">
      <alignment horizontal="center"/>
    </xf>
    <xf numFmtId="174" fontId="0" fillId="0" borderId="0" xfId="0" applyNumberFormat="1"/>
    <xf numFmtId="0" fontId="68" fillId="0" borderId="0" xfId="0" applyFont="1"/>
    <xf numFmtId="3" fontId="0" fillId="29" borderId="0" xfId="0" applyNumberFormat="1" applyFill="1"/>
    <xf numFmtId="167" fontId="0" fillId="0" borderId="0" xfId="0" applyNumberFormat="1"/>
    <xf numFmtId="0" fontId="0" fillId="0" borderId="0" xfId="0" applyAlignment="1">
      <alignment vertical="center"/>
    </xf>
    <xf numFmtId="14" fontId="24" fillId="14" borderId="0" xfId="0" applyNumberFormat="1" applyFont="1" applyFill="1" applyAlignment="1">
      <alignment horizontal="center"/>
    </xf>
    <xf numFmtId="0" fontId="24" fillId="14" borderId="0" xfId="0" applyFont="1" applyFill="1"/>
    <xf numFmtId="0" fontId="25" fillId="14" borderId="0" xfId="9" applyFont="1" applyFill="1" applyAlignment="1">
      <alignment horizontal="left"/>
    </xf>
    <xf numFmtId="0" fontId="25" fillId="14" borderId="0" xfId="9" applyFont="1" applyFill="1" applyAlignment="1">
      <alignment horizontal="center"/>
    </xf>
    <xf numFmtId="14" fontId="25" fillId="0" borderId="20" xfId="9" applyNumberFormat="1" applyFont="1" applyBorder="1" applyAlignment="1">
      <alignment horizontal="center"/>
    </xf>
    <xf numFmtId="17" fontId="24" fillId="14" borderId="0" xfId="0" applyNumberFormat="1" applyFont="1" applyFill="1" applyAlignment="1">
      <alignment horizontal="center"/>
    </xf>
    <xf numFmtId="0" fontId="22" fillId="0" borderId="44" xfId="0" applyFont="1" applyBorder="1" applyAlignment="1">
      <alignment horizontal="center"/>
    </xf>
    <xf numFmtId="170" fontId="20" fillId="13" borderId="47" xfId="7" applyNumberFormat="1" applyFont="1" applyFill="1" applyBorder="1" applyAlignment="1">
      <alignment horizontal="center"/>
    </xf>
    <xf numFmtId="170" fontId="20" fillId="7" borderId="47" xfId="7" applyNumberFormat="1" applyFont="1" applyFill="1" applyBorder="1" applyAlignment="1">
      <alignment horizontal="center"/>
    </xf>
    <xf numFmtId="3" fontId="21" fillId="5" borderId="47" xfId="8" applyNumberFormat="1" applyFont="1" applyFill="1" applyBorder="1" applyAlignment="1">
      <alignment horizontal="center"/>
    </xf>
    <xf numFmtId="3" fontId="25" fillId="16" borderId="6" xfId="9" applyNumberFormat="1" applyFont="1" applyFill="1" applyBorder="1" applyAlignment="1">
      <alignment horizontal="center"/>
    </xf>
    <xf numFmtId="0" fontId="61" fillId="0" borderId="0" xfId="12"/>
    <xf numFmtId="0" fontId="0" fillId="30" borderId="0" xfId="0" applyFill="1"/>
    <xf numFmtId="169" fontId="25" fillId="0" borderId="23" xfId="8" applyNumberFormat="1" applyFont="1" applyFill="1" applyBorder="1" applyAlignment="1">
      <alignment horizontal="center"/>
    </xf>
    <xf numFmtId="0" fontId="24" fillId="13" borderId="45" xfId="0" applyFont="1" applyFill="1" applyBorder="1" applyAlignment="1">
      <alignment horizontal="center"/>
    </xf>
    <xf numFmtId="0" fontId="24" fillId="7" borderId="45" xfId="0" applyFont="1" applyFill="1" applyBorder="1" applyAlignment="1">
      <alignment horizontal="center"/>
    </xf>
    <xf numFmtId="0" fontId="24" fillId="5" borderId="45" xfId="0" applyFont="1" applyFill="1" applyBorder="1" applyAlignment="1">
      <alignment horizontal="center"/>
    </xf>
    <xf numFmtId="0" fontId="24" fillId="13" borderId="6" xfId="0" applyFont="1" applyFill="1" applyBorder="1" applyAlignment="1">
      <alignment horizontal="center" vertical="center"/>
    </xf>
    <xf numFmtId="0" fontId="24" fillId="13" borderId="6" xfId="0" applyFont="1" applyFill="1" applyBorder="1" applyAlignment="1">
      <alignment vertical="center"/>
    </xf>
    <xf numFmtId="166" fontId="24" fillId="13" borderId="6" xfId="7" applyNumberFormat="1" applyFont="1" applyFill="1" applyBorder="1" applyAlignment="1">
      <alignment vertical="center"/>
    </xf>
    <xf numFmtId="0" fontId="24" fillId="14" borderId="28" xfId="0" applyFont="1" applyFill="1" applyBorder="1" applyAlignment="1">
      <alignment horizontal="center"/>
    </xf>
    <xf numFmtId="0" fontId="21" fillId="14" borderId="28" xfId="0" applyFont="1" applyFill="1" applyBorder="1" applyAlignment="1">
      <alignment horizontal="center"/>
    </xf>
    <xf numFmtId="0" fontId="22" fillId="0" borderId="29" xfId="0" applyFont="1" applyBorder="1" applyAlignment="1">
      <alignment horizontal="center"/>
    </xf>
    <xf numFmtId="166" fontId="20" fillId="13" borderId="29" xfId="7" applyNumberFormat="1" applyFont="1" applyFill="1" applyBorder="1" applyAlignment="1">
      <alignment horizontal="center"/>
    </xf>
    <xf numFmtId="170" fontId="20" fillId="7" borderId="29" xfId="7" applyNumberFormat="1" applyFont="1" applyFill="1" applyBorder="1" applyAlignment="1">
      <alignment horizontal="center"/>
    </xf>
    <xf numFmtId="3" fontId="21" fillId="5" borderId="29" xfId="8" applyNumberFormat="1" applyFont="1" applyFill="1" applyBorder="1" applyAlignment="1">
      <alignment horizontal="center"/>
    </xf>
    <xf numFmtId="0" fontId="0" fillId="25" borderId="0" xfId="0" applyFill="1"/>
    <xf numFmtId="16" fontId="24" fillId="0" borderId="6" xfId="0" applyNumberFormat="1" applyFont="1" applyBorder="1" applyAlignment="1">
      <alignment horizontal="center"/>
    </xf>
    <xf numFmtId="0" fontId="24" fillId="14" borderId="0" xfId="0" applyFont="1" applyFill="1" applyAlignment="1">
      <alignment horizontal="center" vertical="center"/>
    </xf>
    <xf numFmtId="170" fontId="20" fillId="13" borderId="6" xfId="7" applyNumberFormat="1" applyFont="1" applyFill="1" applyBorder="1" applyAlignment="1">
      <alignment horizontal="left" vertical="center"/>
    </xf>
    <xf numFmtId="0" fontId="24" fillId="13" borderId="6" xfId="0" applyFont="1" applyFill="1" applyBorder="1" applyAlignment="1">
      <alignment horizontal="left" vertical="center"/>
    </xf>
    <xf numFmtId="166" fontId="24" fillId="13" borderId="6" xfId="7" applyNumberFormat="1" applyFont="1" applyFill="1" applyBorder="1" applyAlignment="1">
      <alignment horizontal="left" vertical="center"/>
    </xf>
    <xf numFmtId="166" fontId="24" fillId="13" borderId="6" xfId="7" applyNumberFormat="1" applyFont="1" applyFill="1" applyBorder="1" applyAlignment="1">
      <alignment horizontal="center" vertical="center"/>
    </xf>
    <xf numFmtId="0" fontId="69" fillId="0" borderId="0" xfId="0" applyFont="1"/>
    <xf numFmtId="166" fontId="0" fillId="25" borderId="0" xfId="0" applyNumberFormat="1" applyFill="1"/>
    <xf numFmtId="0" fontId="0" fillId="24" borderId="0" xfId="0" applyFill="1" applyAlignment="1">
      <alignment vertical="center"/>
    </xf>
    <xf numFmtId="169" fontId="25" fillId="0" borderId="6" xfId="8" applyNumberFormat="1" applyFont="1" applyBorder="1" applyAlignment="1">
      <alignment horizontal="center"/>
    </xf>
    <xf numFmtId="9" fontId="24" fillId="0" borderId="1" xfId="8" applyFont="1" applyBorder="1" applyAlignment="1">
      <alignment horizontal="center"/>
    </xf>
    <xf numFmtId="166" fontId="50" fillId="0" borderId="0" xfId="0" applyNumberFormat="1" applyFont="1" applyAlignment="1">
      <alignment horizontal="center"/>
    </xf>
    <xf numFmtId="0" fontId="0" fillId="0" borderId="0" xfId="8" applyNumberFormat="1" applyFont="1"/>
    <xf numFmtId="0" fontId="20" fillId="14" borderId="0" xfId="0" applyFont="1" applyFill="1" applyAlignment="1">
      <alignment horizontal="center"/>
    </xf>
    <xf numFmtId="0" fontId="0" fillId="24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51" fillId="0" borderId="0" xfId="0" applyFont="1"/>
    <xf numFmtId="0" fontId="0" fillId="24" borderId="0" xfId="0" applyFill="1" applyAlignment="1">
      <alignment horizontal="center" vertical="center"/>
    </xf>
    <xf numFmtId="0" fontId="55" fillId="0" borderId="0" xfId="0" applyFont="1" applyAlignment="1">
      <alignment horizontal="center" vertical="top" wrapText="1"/>
    </xf>
    <xf numFmtId="0" fontId="0" fillId="6" borderId="0" xfId="0" applyFill="1" applyAlignment="1">
      <alignment horizontal="center"/>
    </xf>
    <xf numFmtId="0" fontId="50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31" fillId="16" borderId="0" xfId="0" applyFont="1" applyFill="1" applyAlignment="1">
      <alignment horizontal="center"/>
    </xf>
    <xf numFmtId="0" fontId="0" fillId="23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0" fillId="3" borderId="35" xfId="0" applyFont="1" applyFill="1" applyBorder="1" applyAlignment="1">
      <alignment horizontal="center" vertical="center" wrapText="1"/>
    </xf>
    <xf numFmtId="0" fontId="20" fillId="3" borderId="41" xfId="0" applyFont="1" applyFill="1" applyBorder="1" applyAlignment="1">
      <alignment horizontal="center" vertical="center" wrapText="1"/>
    </xf>
    <xf numFmtId="0" fontId="21" fillId="3" borderId="35" xfId="0" applyFont="1" applyFill="1" applyBorder="1" applyAlignment="1">
      <alignment horizontal="center" vertical="center"/>
    </xf>
    <xf numFmtId="0" fontId="21" fillId="3" borderId="41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2" fillId="3" borderId="51" xfId="0" applyFont="1" applyFill="1" applyBorder="1" applyAlignment="1">
      <alignment horizontal="center"/>
    </xf>
    <xf numFmtId="0" fontId="22" fillId="3" borderId="52" xfId="0" applyFont="1" applyFill="1" applyBorder="1" applyAlignment="1">
      <alignment horizontal="center"/>
    </xf>
    <xf numFmtId="0" fontId="20" fillId="3" borderId="34" xfId="0" applyFont="1" applyFill="1" applyBorder="1" applyAlignment="1">
      <alignment horizontal="center" vertical="center"/>
    </xf>
    <xf numFmtId="0" fontId="20" fillId="3" borderId="40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</cellXfs>
  <cellStyles count="13">
    <cellStyle name="Forklarende tekst" xfId="5" builtinId="53"/>
    <cellStyle name="Hyperkobling" xfId="11" builtinId="8"/>
    <cellStyle name="Hyperlink" xfId="12" xr:uid="{00000000-000B-0000-0000-000008000000}"/>
    <cellStyle name="Komma" xfId="7" builtinId="3"/>
    <cellStyle name="Komma 2" xfId="3" xr:uid="{ECD5E57A-20CC-4AE1-8FDA-FA82104DB202}"/>
    <cellStyle name="Komma 2 2" xfId="6" xr:uid="{2358602F-494F-48D2-B086-3F24BB23294D}"/>
    <cellStyle name="Komma 2 3" xfId="10" xr:uid="{C585CA57-59B6-49C8-A403-E3E2777F55EE}"/>
    <cellStyle name="Normal" xfId="0" builtinId="0"/>
    <cellStyle name="Normal 2" xfId="1" xr:uid="{7C88802A-5C22-4D1B-9451-CAADEBF14CE5}"/>
    <cellStyle name="Normal 2 2" xfId="9" xr:uid="{99E53A8A-0479-4112-AABF-7BD8C32DE77A}"/>
    <cellStyle name="Normal 3" xfId="2" xr:uid="{7B8B8806-E78F-4575-B155-EBF69780E10C}"/>
    <cellStyle name="Prosent" xfId="8" builtinId="5"/>
    <cellStyle name="Prosent 2" xfId="4" xr:uid="{B8D3A540-FBD3-4442-A6CF-EC341440A99A}"/>
  </cellStyles>
  <dxfs count="32">
    <dxf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gradientFill degree="90">
          <stop position="0">
            <color theme="0"/>
          </stop>
          <stop position="1">
            <color rgb="FF66FF33"/>
          </stop>
        </gradientFill>
      </fill>
    </dxf>
    <dxf>
      <fill>
        <gradientFill degree="90">
          <stop position="0">
            <color theme="0"/>
          </stop>
          <stop position="1">
            <color theme="5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3300"/>
      <color rgb="FFFF6161"/>
      <color rgb="FF66FF33"/>
      <color rgb="FF66FF66"/>
      <color rgb="FF009999"/>
      <color rgb="FFFF99FF"/>
      <color rgb="FF33CCCC"/>
      <color rgb="FFF4FE9A"/>
      <color rgb="FF00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7.png@01D8DE33.1F7884C0" TargetMode="Externa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32" Type="http://schemas.openxmlformats.org/officeDocument/2006/relationships/image" Target="../media/image34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7.png"/><Relationship Id="rId18" Type="http://schemas.openxmlformats.org/officeDocument/2006/relationships/image" Target="../media/image52.png"/><Relationship Id="rId26" Type="http://schemas.openxmlformats.org/officeDocument/2006/relationships/image" Target="../media/image60.png"/><Relationship Id="rId3" Type="http://schemas.openxmlformats.org/officeDocument/2006/relationships/image" Target="../media/image37.png"/><Relationship Id="rId21" Type="http://schemas.openxmlformats.org/officeDocument/2006/relationships/image" Target="../media/image55.png"/><Relationship Id="rId34" Type="http://schemas.openxmlformats.org/officeDocument/2006/relationships/image" Target="../media/image68.png"/><Relationship Id="rId7" Type="http://schemas.openxmlformats.org/officeDocument/2006/relationships/image" Target="../media/image41.png"/><Relationship Id="rId12" Type="http://schemas.openxmlformats.org/officeDocument/2006/relationships/image" Target="../media/image46.png"/><Relationship Id="rId17" Type="http://schemas.openxmlformats.org/officeDocument/2006/relationships/image" Target="../media/image51.png"/><Relationship Id="rId25" Type="http://schemas.openxmlformats.org/officeDocument/2006/relationships/image" Target="../media/image59.png"/><Relationship Id="rId33" Type="http://schemas.openxmlformats.org/officeDocument/2006/relationships/image" Target="../media/image67.png"/><Relationship Id="rId2" Type="http://schemas.openxmlformats.org/officeDocument/2006/relationships/image" Target="../media/image36.png"/><Relationship Id="rId16" Type="http://schemas.openxmlformats.org/officeDocument/2006/relationships/image" Target="../media/image50.png"/><Relationship Id="rId20" Type="http://schemas.openxmlformats.org/officeDocument/2006/relationships/image" Target="../media/image54.png"/><Relationship Id="rId29" Type="http://schemas.openxmlformats.org/officeDocument/2006/relationships/image" Target="../media/image63.png"/><Relationship Id="rId1" Type="http://schemas.openxmlformats.org/officeDocument/2006/relationships/image" Target="../media/image35.png"/><Relationship Id="rId6" Type="http://schemas.openxmlformats.org/officeDocument/2006/relationships/image" Target="../media/image40.png"/><Relationship Id="rId11" Type="http://schemas.openxmlformats.org/officeDocument/2006/relationships/image" Target="../media/image45.png"/><Relationship Id="rId24" Type="http://schemas.openxmlformats.org/officeDocument/2006/relationships/image" Target="../media/image58.png"/><Relationship Id="rId32" Type="http://schemas.openxmlformats.org/officeDocument/2006/relationships/image" Target="../media/image66.png"/><Relationship Id="rId5" Type="http://schemas.openxmlformats.org/officeDocument/2006/relationships/image" Target="../media/image39.png"/><Relationship Id="rId15" Type="http://schemas.openxmlformats.org/officeDocument/2006/relationships/image" Target="../media/image49.png"/><Relationship Id="rId23" Type="http://schemas.openxmlformats.org/officeDocument/2006/relationships/image" Target="../media/image57.png"/><Relationship Id="rId28" Type="http://schemas.openxmlformats.org/officeDocument/2006/relationships/image" Target="../media/image62.png"/><Relationship Id="rId10" Type="http://schemas.openxmlformats.org/officeDocument/2006/relationships/image" Target="../media/image44.png"/><Relationship Id="rId19" Type="http://schemas.openxmlformats.org/officeDocument/2006/relationships/image" Target="../media/image53.png"/><Relationship Id="rId31" Type="http://schemas.openxmlformats.org/officeDocument/2006/relationships/image" Target="../media/image65.png"/><Relationship Id="rId4" Type="http://schemas.openxmlformats.org/officeDocument/2006/relationships/image" Target="../media/image38.png"/><Relationship Id="rId9" Type="http://schemas.openxmlformats.org/officeDocument/2006/relationships/image" Target="../media/image43.png"/><Relationship Id="rId14" Type="http://schemas.openxmlformats.org/officeDocument/2006/relationships/image" Target="../media/image48.png"/><Relationship Id="rId22" Type="http://schemas.openxmlformats.org/officeDocument/2006/relationships/image" Target="../media/image56.png"/><Relationship Id="rId27" Type="http://schemas.openxmlformats.org/officeDocument/2006/relationships/image" Target="../media/image61.png"/><Relationship Id="rId30" Type="http://schemas.openxmlformats.org/officeDocument/2006/relationships/image" Target="../media/image64.png"/><Relationship Id="rId8" Type="http://schemas.openxmlformats.org/officeDocument/2006/relationships/image" Target="../media/image4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1.png"/><Relationship Id="rId2" Type="http://schemas.openxmlformats.org/officeDocument/2006/relationships/image" Target="../media/image70.png"/><Relationship Id="rId1" Type="http://schemas.openxmlformats.org/officeDocument/2006/relationships/image" Target="../media/image69.png"/><Relationship Id="rId5" Type="http://schemas.openxmlformats.org/officeDocument/2006/relationships/image" Target="../media/image73.png"/><Relationship Id="rId4" Type="http://schemas.openxmlformats.org/officeDocument/2006/relationships/image" Target="../media/image7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19051</xdr:rowOff>
    </xdr:from>
    <xdr:to>
      <xdr:col>2</xdr:col>
      <xdr:colOff>244862</xdr:colOff>
      <xdr:row>1</xdr:row>
      <xdr:rowOff>821543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9BFEC4DA-E5F2-13B5-C52F-352117FBA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328614"/>
          <a:ext cx="2052637" cy="8118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</xdr:row>
      <xdr:rowOff>19051</xdr:rowOff>
    </xdr:from>
    <xdr:to>
      <xdr:col>1</xdr:col>
      <xdr:colOff>1634407</xdr:colOff>
      <xdr:row>4</xdr:row>
      <xdr:rowOff>10886</xdr:rowOff>
    </xdr:to>
    <xdr:pic>
      <xdr:nvPicPr>
        <xdr:cNvPr id="3" name="Grafikk 1">
          <a:extLst>
            <a:ext uri="{FF2B5EF4-FFF2-40B4-BE49-F238E27FC236}">
              <a16:creationId xmlns:a16="http://schemas.microsoft.com/office/drawing/2014/main" id="{D16A1075-3B6E-4BD1-B9F8-26D2C9A2B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00051"/>
          <a:ext cx="2426343" cy="80826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2</xdr:row>
      <xdr:rowOff>152400</xdr:rowOff>
    </xdr:from>
    <xdr:to>
      <xdr:col>7</xdr:col>
      <xdr:colOff>54051</xdr:colOff>
      <xdr:row>8</xdr:row>
      <xdr:rowOff>133507</xdr:rowOff>
    </xdr:to>
    <xdr:pic>
      <xdr:nvPicPr>
        <xdr:cNvPr id="4" name="Bilde 1">
          <a:extLst>
            <a:ext uri="{FF2B5EF4-FFF2-40B4-BE49-F238E27FC236}">
              <a16:creationId xmlns:a16="http://schemas.microsoft.com/office/drawing/2014/main" id="{C5CCEA25-9FE9-1474-3429-D67C402BF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533400"/>
          <a:ext cx="5096586" cy="1124107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14</xdr:row>
      <xdr:rowOff>0</xdr:rowOff>
    </xdr:from>
    <xdr:to>
      <xdr:col>7</xdr:col>
      <xdr:colOff>320753</xdr:colOff>
      <xdr:row>22</xdr:row>
      <xdr:rowOff>114529</xdr:rowOff>
    </xdr:to>
    <xdr:pic>
      <xdr:nvPicPr>
        <xdr:cNvPr id="3" name="Bilde 1">
          <a:extLst>
            <a:ext uri="{FF2B5EF4-FFF2-40B4-BE49-F238E27FC236}">
              <a16:creationId xmlns:a16="http://schemas.microsoft.com/office/drawing/2014/main" id="{9AB4CD30-313F-3A9A-F1ED-8E279B13B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" y="2667000"/>
          <a:ext cx="5106113" cy="1638529"/>
        </a:xfrm>
        <a:prstGeom prst="rect">
          <a:avLst/>
        </a:prstGeom>
      </xdr:spPr>
    </xdr:pic>
    <xdr:clientData/>
  </xdr:twoCellAnchor>
  <xdr:twoCellAnchor editAs="oneCell">
    <xdr:from>
      <xdr:col>0</xdr:col>
      <xdr:colOff>733425</xdr:colOff>
      <xdr:row>37</xdr:row>
      <xdr:rowOff>19050</xdr:rowOff>
    </xdr:from>
    <xdr:to>
      <xdr:col>5</xdr:col>
      <xdr:colOff>321945</xdr:colOff>
      <xdr:row>46</xdr:row>
      <xdr:rowOff>167640</xdr:rowOff>
    </xdr:to>
    <xdr:pic>
      <xdr:nvPicPr>
        <xdr:cNvPr id="8" name="Bilde 2">
          <a:extLst>
            <a:ext uri="{FF2B5EF4-FFF2-40B4-BE49-F238E27FC236}">
              <a16:creationId xmlns:a16="http://schemas.microsoft.com/office/drawing/2014/main" id="{D420FF83-949E-30AA-73DC-31D8C68129D7}"/>
            </a:ext>
            <a:ext uri="{147F2762-F138-4A5C-976F-8EAC2B608ADB}">
              <a16:predDERef xmlns:a16="http://schemas.microsoft.com/office/drawing/2014/main" pred="{9AB4CD30-313F-3A9A-F1ED-8E279B13B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3425" y="7762875"/>
          <a:ext cx="4572000" cy="1857375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619125</xdr:colOff>
      <xdr:row>24</xdr:row>
      <xdr:rowOff>180975</xdr:rowOff>
    </xdr:from>
    <xdr:to>
      <xdr:col>4</xdr:col>
      <xdr:colOff>342900</xdr:colOff>
      <xdr:row>31</xdr:row>
      <xdr:rowOff>169545</xdr:rowOff>
    </xdr:to>
    <xdr:pic>
      <xdr:nvPicPr>
        <xdr:cNvPr id="7" name="Bilde 4">
          <a:extLst>
            <a:ext uri="{FF2B5EF4-FFF2-40B4-BE49-F238E27FC236}">
              <a16:creationId xmlns:a16="http://schemas.microsoft.com/office/drawing/2014/main" id="{D040BB90-8C4A-9CD0-93A3-4D65B506D534}"/>
            </a:ext>
            <a:ext uri="{147F2762-F138-4A5C-976F-8EAC2B608ADB}">
              <a16:predDERef xmlns:a16="http://schemas.microsoft.com/office/drawing/2014/main" pred="{D420FF83-949E-30AA-73DC-31D8C6812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4752975"/>
          <a:ext cx="3933825" cy="1838325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53</xdr:row>
      <xdr:rowOff>47625</xdr:rowOff>
    </xdr:from>
    <xdr:to>
      <xdr:col>5</xdr:col>
      <xdr:colOff>133350</xdr:colOff>
      <xdr:row>57</xdr:row>
      <xdr:rowOff>171450</xdr:rowOff>
    </xdr:to>
    <xdr:pic>
      <xdr:nvPicPr>
        <xdr:cNvPr id="9" name="Bilde 5">
          <a:extLst>
            <a:ext uri="{FF2B5EF4-FFF2-40B4-BE49-F238E27FC236}">
              <a16:creationId xmlns:a16="http://schemas.microsoft.com/office/drawing/2014/main" id="{9D52E624-D410-E9FB-B98C-BAD94BBFAFB9}"/>
            </a:ext>
            <a:ext uri="{147F2762-F138-4A5C-976F-8EAC2B608ADB}">
              <a16:predDERef xmlns:a16="http://schemas.microsoft.com/office/drawing/2014/main" pred="{D040BB90-8C4A-9CD0-93A3-4D65B506D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2925" y="10877550"/>
          <a:ext cx="4562475" cy="1266825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619125</xdr:colOff>
      <xdr:row>61</xdr:row>
      <xdr:rowOff>38100</xdr:rowOff>
    </xdr:from>
    <xdr:to>
      <xdr:col>4</xdr:col>
      <xdr:colOff>320585</xdr:colOff>
      <xdr:row>66</xdr:row>
      <xdr:rowOff>38233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C002F6D9-54BF-F656-EC6A-62A818F47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9125" y="12934950"/>
          <a:ext cx="3905795" cy="95263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70</xdr:row>
      <xdr:rowOff>161925</xdr:rowOff>
    </xdr:from>
    <xdr:to>
      <xdr:col>6</xdr:col>
      <xdr:colOff>15934</xdr:colOff>
      <xdr:row>78</xdr:row>
      <xdr:rowOff>53537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B706954E-7F0E-4640-7834-48A7DDF28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1525" y="14773275"/>
          <a:ext cx="4972744" cy="140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87</xdr:row>
      <xdr:rowOff>9525</xdr:rowOff>
    </xdr:from>
    <xdr:to>
      <xdr:col>6</xdr:col>
      <xdr:colOff>704322</xdr:colOff>
      <xdr:row>92</xdr:row>
      <xdr:rowOff>133350</xdr:rowOff>
    </xdr:to>
    <xdr:pic>
      <xdr:nvPicPr>
        <xdr:cNvPr id="6" name="Bilde 1">
          <a:extLst>
            <a:ext uri="{FF2B5EF4-FFF2-40B4-BE49-F238E27FC236}">
              <a16:creationId xmlns:a16="http://schemas.microsoft.com/office/drawing/2014/main" id="{92E263C4-602E-417C-B720-62961BAF2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17287875"/>
          <a:ext cx="5992602" cy="10763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96</xdr:row>
      <xdr:rowOff>161925</xdr:rowOff>
    </xdr:from>
    <xdr:to>
      <xdr:col>6</xdr:col>
      <xdr:colOff>17839</xdr:colOff>
      <xdr:row>104</xdr:row>
      <xdr:rowOff>55444</xdr:rowOff>
    </xdr:to>
    <xdr:pic>
      <xdr:nvPicPr>
        <xdr:cNvPr id="10" name="Bilde 9">
          <a:extLst>
            <a:ext uri="{FF2B5EF4-FFF2-40B4-BE49-F238E27FC236}">
              <a16:creationId xmlns:a16="http://schemas.microsoft.com/office/drawing/2014/main" id="{79CB1C21-0A56-1D7F-CF5A-7525CF05A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0575" y="19154775"/>
          <a:ext cx="4972744" cy="1428949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108</xdr:row>
      <xdr:rowOff>66675</xdr:rowOff>
    </xdr:from>
    <xdr:to>
      <xdr:col>6</xdr:col>
      <xdr:colOff>15905</xdr:colOff>
      <xdr:row>116</xdr:row>
      <xdr:rowOff>133572</xdr:rowOff>
    </xdr:to>
    <xdr:pic>
      <xdr:nvPicPr>
        <xdr:cNvPr id="12" name="Bilde 10">
          <a:extLst>
            <a:ext uri="{FF2B5EF4-FFF2-40B4-BE49-F238E27FC236}">
              <a16:creationId xmlns:a16="http://schemas.microsoft.com/office/drawing/2014/main" id="{EE0F9A2F-608B-4466-B234-5E6E90D9D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81075" y="21345525"/>
          <a:ext cx="4763165" cy="1590897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342901</xdr:colOff>
      <xdr:row>120</xdr:row>
      <xdr:rowOff>19050</xdr:rowOff>
    </xdr:from>
    <xdr:to>
      <xdr:col>5</xdr:col>
      <xdr:colOff>704851</xdr:colOff>
      <xdr:row>129</xdr:row>
      <xdr:rowOff>132860</xdr:rowOff>
    </xdr:to>
    <xdr:pic>
      <xdr:nvPicPr>
        <xdr:cNvPr id="13" name="Bilde 10">
          <a:extLst>
            <a:ext uri="{FF2B5EF4-FFF2-40B4-BE49-F238E27FC236}">
              <a16:creationId xmlns:a16="http://schemas.microsoft.com/office/drawing/2014/main" id="{C4D7FB01-B6E2-6C9B-87D5-A747FB9BF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4901" y="23583900"/>
          <a:ext cx="4572000" cy="18359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7620</xdr:rowOff>
    </xdr:from>
    <xdr:to>
      <xdr:col>6</xdr:col>
      <xdr:colOff>76650</xdr:colOff>
      <xdr:row>155</xdr:row>
      <xdr:rowOff>21163</xdr:rowOff>
    </xdr:to>
    <xdr:pic>
      <xdr:nvPicPr>
        <xdr:cNvPr id="11" name="Bilde 10">
          <a:extLst>
            <a:ext uri="{FF2B5EF4-FFF2-40B4-BE49-F238E27FC236}">
              <a16:creationId xmlns:a16="http://schemas.microsoft.com/office/drawing/2014/main" id="{4AC53B2A-8EDD-FE13-A5A4-D1D5AAE05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4860" y="26715720"/>
          <a:ext cx="5197290" cy="2400508"/>
        </a:xfrm>
        <a:prstGeom prst="rect">
          <a:avLst/>
        </a:prstGeom>
      </xdr:spPr>
    </xdr:pic>
    <xdr:clientData/>
  </xdr:twoCellAnchor>
  <xdr:twoCellAnchor editAs="oneCell">
    <xdr:from>
      <xdr:col>0</xdr:col>
      <xdr:colOff>701040</xdr:colOff>
      <xdr:row>160</xdr:row>
      <xdr:rowOff>15240</xdr:rowOff>
    </xdr:from>
    <xdr:to>
      <xdr:col>6</xdr:col>
      <xdr:colOff>76658</xdr:colOff>
      <xdr:row>173</xdr:row>
      <xdr:rowOff>91653</xdr:rowOff>
    </xdr:to>
    <xdr:pic>
      <xdr:nvPicPr>
        <xdr:cNvPr id="15" name="Bilde 14">
          <a:extLst>
            <a:ext uri="{FF2B5EF4-FFF2-40B4-BE49-F238E27FC236}">
              <a16:creationId xmlns:a16="http://schemas.microsoft.com/office/drawing/2014/main" id="{50E396ED-8F7A-9F76-F6FF-B3C0CD3F5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01040" y="30015180"/>
          <a:ext cx="5281118" cy="2453853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176</xdr:row>
      <xdr:rowOff>38100</xdr:rowOff>
    </xdr:from>
    <xdr:to>
      <xdr:col>6</xdr:col>
      <xdr:colOff>76890</xdr:colOff>
      <xdr:row>191</xdr:row>
      <xdr:rowOff>91845</xdr:rowOff>
    </xdr:to>
    <xdr:pic>
      <xdr:nvPicPr>
        <xdr:cNvPr id="14" name="Bilde 13">
          <a:extLst>
            <a:ext uri="{FF2B5EF4-FFF2-40B4-BE49-F238E27FC236}">
              <a16:creationId xmlns:a16="http://schemas.microsoft.com/office/drawing/2014/main" id="{0643C61D-7B28-4AC3-850B-2CB42CB96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66775" y="34270950"/>
          <a:ext cx="4944165" cy="2905530"/>
        </a:xfrm>
        <a:prstGeom prst="rect">
          <a:avLst/>
        </a:prstGeom>
      </xdr:spPr>
    </xdr:pic>
    <xdr:clientData/>
  </xdr:twoCellAnchor>
  <xdr:twoCellAnchor editAs="oneCell">
    <xdr:from>
      <xdr:col>0</xdr:col>
      <xdr:colOff>723900</xdr:colOff>
      <xdr:row>195</xdr:row>
      <xdr:rowOff>95250</xdr:rowOff>
    </xdr:from>
    <xdr:to>
      <xdr:col>6</xdr:col>
      <xdr:colOff>94059</xdr:colOff>
      <xdr:row>209</xdr:row>
      <xdr:rowOff>55613</xdr:rowOff>
    </xdr:to>
    <xdr:pic>
      <xdr:nvPicPr>
        <xdr:cNvPr id="17" name="Bilde 15">
          <a:extLst>
            <a:ext uri="{FF2B5EF4-FFF2-40B4-BE49-F238E27FC236}">
              <a16:creationId xmlns:a16="http://schemas.microsoft.com/office/drawing/2014/main" id="{E3D8768E-E552-004B-CC2C-DEE756E96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23900" y="37947600"/>
          <a:ext cx="5115639" cy="2638793"/>
        </a:xfrm>
        <a:prstGeom prst="rect">
          <a:avLst/>
        </a:prstGeom>
      </xdr:spPr>
    </xdr:pic>
    <xdr:clientData/>
  </xdr:twoCellAnchor>
  <xdr:twoCellAnchor editAs="oneCell">
    <xdr:from>
      <xdr:col>0</xdr:col>
      <xdr:colOff>695325</xdr:colOff>
      <xdr:row>222</xdr:row>
      <xdr:rowOff>57150</xdr:rowOff>
    </xdr:from>
    <xdr:to>
      <xdr:col>6</xdr:col>
      <xdr:colOff>92155</xdr:colOff>
      <xdr:row>233</xdr:row>
      <xdr:rowOff>131749</xdr:rowOff>
    </xdr:to>
    <xdr:pic>
      <xdr:nvPicPr>
        <xdr:cNvPr id="19" name="Bilde 17">
          <a:extLst>
            <a:ext uri="{FF2B5EF4-FFF2-40B4-BE49-F238E27FC236}">
              <a16:creationId xmlns:a16="http://schemas.microsoft.com/office/drawing/2014/main" id="{AACFA812-CC9A-CD85-EC55-5EEB01F3F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95325" y="43053000"/>
          <a:ext cx="5125165" cy="21815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6</xdr:col>
      <xdr:colOff>76905</xdr:colOff>
      <xdr:row>245</xdr:row>
      <xdr:rowOff>131651</xdr:rowOff>
    </xdr:to>
    <xdr:pic>
      <xdr:nvPicPr>
        <xdr:cNvPr id="18" name="Bilde 17">
          <a:extLst>
            <a:ext uri="{FF2B5EF4-FFF2-40B4-BE49-F238E27FC236}">
              <a16:creationId xmlns:a16="http://schemas.microsoft.com/office/drawing/2014/main" id="{AD839B95-3864-8CB4-6C32-782A377CC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2000" y="46043850"/>
          <a:ext cx="5048955" cy="14765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6</xdr:col>
      <xdr:colOff>76905</xdr:colOff>
      <xdr:row>218</xdr:row>
      <xdr:rowOff>167822</xdr:rowOff>
    </xdr:to>
    <xdr:pic>
      <xdr:nvPicPr>
        <xdr:cNvPr id="20" name="Bilde 19">
          <a:extLst>
            <a:ext uri="{FF2B5EF4-FFF2-40B4-BE49-F238E27FC236}">
              <a16:creationId xmlns:a16="http://schemas.microsoft.com/office/drawing/2014/main" id="{19D4C0FE-AD68-3DC5-CB79-23A7CAA03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62000" y="41090850"/>
          <a:ext cx="5048955" cy="13051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6</xdr:col>
      <xdr:colOff>741844</xdr:colOff>
      <xdr:row>259</xdr:row>
      <xdr:rowOff>19319</xdr:rowOff>
    </xdr:to>
    <xdr:pic>
      <xdr:nvPicPr>
        <xdr:cNvPr id="21" name="Bilde 20">
          <a:extLst>
            <a:ext uri="{FF2B5EF4-FFF2-40B4-BE49-F238E27FC236}">
              <a16:creationId xmlns:a16="http://schemas.microsoft.com/office/drawing/2014/main" id="{71414C97-63D5-1687-1B35-13AC886AA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2000" y="48139350"/>
          <a:ext cx="5725324" cy="1924319"/>
        </a:xfrm>
        <a:prstGeom prst="rect">
          <a:avLst/>
        </a:prstGeom>
      </xdr:spPr>
    </xdr:pic>
    <xdr:clientData/>
  </xdr:twoCellAnchor>
  <xdr:twoCellAnchor editAs="oneCell">
    <xdr:from>
      <xdr:col>0</xdr:col>
      <xdr:colOff>628650</xdr:colOff>
      <xdr:row>262</xdr:row>
      <xdr:rowOff>114300</xdr:rowOff>
    </xdr:from>
    <xdr:to>
      <xdr:col>7</xdr:col>
      <xdr:colOff>397113</xdr:colOff>
      <xdr:row>276</xdr:row>
      <xdr:rowOff>76567</xdr:rowOff>
    </xdr:to>
    <xdr:pic>
      <xdr:nvPicPr>
        <xdr:cNvPr id="23" name="Bilde 15">
          <a:extLst>
            <a:ext uri="{FF2B5EF4-FFF2-40B4-BE49-F238E27FC236}">
              <a16:creationId xmlns:a16="http://schemas.microsoft.com/office/drawing/2014/main" id="{FBE2EDFD-466F-E6F6-0A18-4558CCD96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28650" y="50730150"/>
          <a:ext cx="6258798" cy="2629267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281</xdr:row>
      <xdr:rowOff>20955</xdr:rowOff>
    </xdr:from>
    <xdr:to>
      <xdr:col>6</xdr:col>
      <xdr:colOff>548640</xdr:colOff>
      <xdr:row>286</xdr:row>
      <xdr:rowOff>19254</xdr:rowOff>
    </xdr:to>
    <xdr:pic>
      <xdr:nvPicPr>
        <xdr:cNvPr id="25" name="Bilde 21">
          <a:extLst>
            <a:ext uri="{FF2B5EF4-FFF2-40B4-BE49-F238E27FC236}">
              <a16:creationId xmlns:a16="http://schemas.microsoft.com/office/drawing/2014/main" id="{2859568F-C21F-A868-B18D-429EA39FA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2425" y="52149375"/>
          <a:ext cx="5924550" cy="939369"/>
        </a:xfrm>
        <a:prstGeom prst="rect">
          <a:avLst/>
        </a:prstGeom>
      </xdr:spPr>
    </xdr:pic>
    <xdr:clientData/>
  </xdr:twoCellAnchor>
  <xdr:twoCellAnchor editAs="oneCell">
    <xdr:from>
      <xdr:col>0</xdr:col>
      <xdr:colOff>127635</xdr:colOff>
      <xdr:row>294</xdr:row>
      <xdr:rowOff>77985</xdr:rowOff>
    </xdr:from>
    <xdr:to>
      <xdr:col>7</xdr:col>
      <xdr:colOff>695325</xdr:colOff>
      <xdr:row>300</xdr:row>
      <xdr:rowOff>3650</xdr:rowOff>
    </xdr:to>
    <xdr:pic>
      <xdr:nvPicPr>
        <xdr:cNvPr id="24" name="Bilde 15">
          <a:extLst>
            <a:ext uri="{FF2B5EF4-FFF2-40B4-BE49-F238E27FC236}">
              <a16:creationId xmlns:a16="http://schemas.microsoft.com/office/drawing/2014/main" id="{5E431147-3D63-9FC7-06F5-BDEC02475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7635" y="56789835"/>
          <a:ext cx="7063740" cy="1059140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302</xdr:row>
      <xdr:rowOff>95250</xdr:rowOff>
    </xdr:from>
    <xdr:to>
      <xdr:col>6</xdr:col>
      <xdr:colOff>388620</xdr:colOff>
      <xdr:row>312</xdr:row>
      <xdr:rowOff>11448</xdr:rowOff>
    </xdr:to>
    <xdr:pic>
      <xdr:nvPicPr>
        <xdr:cNvPr id="27" name="Bilde 21">
          <a:extLst>
            <a:ext uri="{FF2B5EF4-FFF2-40B4-BE49-F238E27FC236}">
              <a16:creationId xmlns:a16="http://schemas.microsoft.com/office/drawing/2014/main" id="{20572F50-DFC2-24A0-C38E-32533F6CB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1950" y="58331100"/>
          <a:ext cx="5760720" cy="1821198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314</xdr:row>
      <xdr:rowOff>57150</xdr:rowOff>
    </xdr:from>
    <xdr:to>
      <xdr:col>7</xdr:col>
      <xdr:colOff>48493</xdr:colOff>
      <xdr:row>324</xdr:row>
      <xdr:rowOff>114574</xdr:rowOff>
    </xdr:to>
    <xdr:pic>
      <xdr:nvPicPr>
        <xdr:cNvPr id="26" name="Bilde 25">
          <a:extLst>
            <a:ext uri="{FF2B5EF4-FFF2-40B4-BE49-F238E27FC236}">
              <a16:creationId xmlns:a16="http://schemas.microsoft.com/office/drawing/2014/main" id="{C9F4970D-AD44-928A-BCC4-526C45E00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23850" y="60579000"/>
          <a:ext cx="6220693" cy="1962424"/>
        </a:xfrm>
        <a:prstGeom prst="rect">
          <a:avLst/>
        </a:prstGeom>
      </xdr:spPr>
    </xdr:pic>
    <xdr:clientData/>
  </xdr:twoCellAnchor>
  <xdr:twoCellAnchor editAs="oneCell">
    <xdr:from>
      <xdr:col>0</xdr:col>
      <xdr:colOff>714375</xdr:colOff>
      <xdr:row>328</xdr:row>
      <xdr:rowOff>123825</xdr:rowOff>
    </xdr:from>
    <xdr:to>
      <xdr:col>5</xdr:col>
      <xdr:colOff>286384</xdr:colOff>
      <xdr:row>333</xdr:row>
      <xdr:rowOff>104905</xdr:rowOff>
    </xdr:to>
    <xdr:pic>
      <xdr:nvPicPr>
        <xdr:cNvPr id="29" name="Bilde 15">
          <a:extLst>
            <a:ext uri="{FF2B5EF4-FFF2-40B4-BE49-F238E27FC236}">
              <a16:creationId xmlns:a16="http://schemas.microsoft.com/office/drawing/2014/main" id="{A5908D0B-FA32-0C9A-F89E-5879BC0C7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14375" y="63312675"/>
          <a:ext cx="4544059" cy="93358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619124</xdr:colOff>
      <xdr:row>336</xdr:row>
      <xdr:rowOff>161924</xdr:rowOff>
    </xdr:from>
    <xdr:to>
      <xdr:col>7</xdr:col>
      <xdr:colOff>119014</xdr:colOff>
      <xdr:row>346</xdr:row>
      <xdr:rowOff>180974</xdr:rowOff>
    </xdr:to>
    <xdr:pic>
      <xdr:nvPicPr>
        <xdr:cNvPr id="16" name="Bilde 15">
          <a:extLst>
            <a:ext uri="{FF2B5EF4-FFF2-40B4-BE49-F238E27FC236}">
              <a16:creationId xmlns:a16="http://schemas.microsoft.com/office/drawing/2014/main" id="{A951B83F-E782-6882-E960-FCF62C18B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19124" y="64874774"/>
          <a:ext cx="5995940" cy="1933575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685800</xdr:colOff>
      <xdr:row>350</xdr:row>
      <xdr:rowOff>0</xdr:rowOff>
    </xdr:from>
    <xdr:to>
      <xdr:col>6</xdr:col>
      <xdr:colOff>38810</xdr:colOff>
      <xdr:row>360</xdr:row>
      <xdr:rowOff>114582</xdr:rowOff>
    </xdr:to>
    <xdr:pic>
      <xdr:nvPicPr>
        <xdr:cNvPr id="22" name="Bilde 21">
          <a:extLst>
            <a:ext uri="{FF2B5EF4-FFF2-40B4-BE49-F238E27FC236}">
              <a16:creationId xmlns:a16="http://schemas.microsoft.com/office/drawing/2014/main" id="{AB9645D4-2466-5DC1-0923-295AF2F12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85800" y="67379850"/>
          <a:ext cx="5087060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363</xdr:row>
      <xdr:rowOff>180975</xdr:rowOff>
    </xdr:from>
    <xdr:to>
      <xdr:col>7</xdr:col>
      <xdr:colOff>38930</xdr:colOff>
      <xdr:row>371</xdr:row>
      <xdr:rowOff>162135</xdr:rowOff>
    </xdr:to>
    <xdr:pic>
      <xdr:nvPicPr>
        <xdr:cNvPr id="28" name="Bilde 27">
          <a:extLst>
            <a:ext uri="{FF2B5EF4-FFF2-40B4-BE49-F238E27FC236}">
              <a16:creationId xmlns:a16="http://schemas.microsoft.com/office/drawing/2014/main" id="{208EF87D-77D6-36EC-394C-AC9B37B0B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90550" y="70037325"/>
          <a:ext cx="5944430" cy="1505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374</xdr:row>
      <xdr:rowOff>1</xdr:rowOff>
    </xdr:from>
    <xdr:to>
      <xdr:col>7</xdr:col>
      <xdr:colOff>0</xdr:colOff>
      <xdr:row>382</xdr:row>
      <xdr:rowOff>118233</xdr:rowOff>
    </xdr:to>
    <xdr:pic>
      <xdr:nvPicPr>
        <xdr:cNvPr id="30" name="Bilde 29">
          <a:extLst>
            <a:ext uri="{FF2B5EF4-FFF2-40B4-BE49-F238E27FC236}">
              <a16:creationId xmlns:a16="http://schemas.microsoft.com/office/drawing/2014/main" id="{5640C9A3-52D2-5CCE-71AC-6208E52F2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62000" y="71951851"/>
          <a:ext cx="5734050" cy="1642232"/>
        </a:xfrm>
        <a:prstGeom prst="rect">
          <a:avLst/>
        </a:prstGeom>
      </xdr:spPr>
    </xdr:pic>
    <xdr:clientData/>
  </xdr:twoCellAnchor>
  <xdr:twoCellAnchor editAs="oneCell">
    <xdr:from>
      <xdr:col>0</xdr:col>
      <xdr:colOff>752475</xdr:colOff>
      <xdr:row>385</xdr:row>
      <xdr:rowOff>9525</xdr:rowOff>
    </xdr:from>
    <xdr:to>
      <xdr:col>7</xdr:col>
      <xdr:colOff>229434</xdr:colOff>
      <xdr:row>392</xdr:row>
      <xdr:rowOff>183</xdr:rowOff>
    </xdr:to>
    <xdr:pic>
      <xdr:nvPicPr>
        <xdr:cNvPr id="31" name="Bilde 30">
          <a:extLst>
            <a:ext uri="{FF2B5EF4-FFF2-40B4-BE49-F238E27FC236}">
              <a16:creationId xmlns:a16="http://schemas.microsoft.com/office/drawing/2014/main" id="{7577E49E-385D-B5BE-E115-E929757B8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52475" y="74056875"/>
          <a:ext cx="5973009" cy="1314633"/>
        </a:xfrm>
        <a:prstGeom prst="rect">
          <a:avLst/>
        </a:prstGeom>
      </xdr:spPr>
    </xdr:pic>
    <xdr:clientData/>
  </xdr:twoCellAnchor>
  <xdr:twoCellAnchor editAs="oneCell">
    <xdr:from>
      <xdr:col>0</xdr:col>
      <xdr:colOff>752475</xdr:colOff>
      <xdr:row>385</xdr:row>
      <xdr:rowOff>9525</xdr:rowOff>
    </xdr:from>
    <xdr:to>
      <xdr:col>7</xdr:col>
      <xdr:colOff>162749</xdr:colOff>
      <xdr:row>392</xdr:row>
      <xdr:rowOff>183</xdr:rowOff>
    </xdr:to>
    <xdr:pic>
      <xdr:nvPicPr>
        <xdr:cNvPr id="32" name="Bilde 31">
          <a:extLst>
            <a:ext uri="{FF2B5EF4-FFF2-40B4-BE49-F238E27FC236}">
              <a16:creationId xmlns:a16="http://schemas.microsoft.com/office/drawing/2014/main" id="{DE85A6BF-4DB0-D2D9-9EFB-98A675C35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52475" y="74056875"/>
          <a:ext cx="5906324" cy="1314633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394</xdr:row>
      <xdr:rowOff>85725</xdr:rowOff>
    </xdr:from>
    <xdr:to>
      <xdr:col>6</xdr:col>
      <xdr:colOff>743784</xdr:colOff>
      <xdr:row>401</xdr:row>
      <xdr:rowOff>76385</xdr:rowOff>
    </xdr:to>
    <xdr:pic>
      <xdr:nvPicPr>
        <xdr:cNvPr id="36" name="Bilde 33">
          <a:extLst>
            <a:ext uri="{FF2B5EF4-FFF2-40B4-BE49-F238E27FC236}">
              <a16:creationId xmlns:a16="http://schemas.microsoft.com/office/drawing/2014/main" id="{A5DCB78B-8F7A-B0DB-0057-0D962B1AE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04825" y="75847575"/>
          <a:ext cx="5973009" cy="1324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404</xdr:row>
      <xdr:rowOff>0</xdr:rowOff>
    </xdr:from>
    <xdr:to>
      <xdr:col>5</xdr:col>
      <xdr:colOff>361950</xdr:colOff>
      <xdr:row>409</xdr:row>
      <xdr:rowOff>171450</xdr:rowOff>
    </xdr:to>
    <xdr:pic>
      <xdr:nvPicPr>
        <xdr:cNvPr id="33" name="Bilde 32">
          <a:extLst>
            <a:ext uri="{FF2B5EF4-FFF2-40B4-BE49-F238E27FC236}">
              <a16:creationId xmlns:a16="http://schemas.microsoft.com/office/drawing/2014/main" id="{8ED3FE32-91B7-8449-D48E-9B305A93D0F9}"/>
            </a:ext>
            <a:ext uri="{147F2762-F138-4A5C-976F-8EAC2B608ADB}">
              <a16:predDERef xmlns:a16="http://schemas.microsoft.com/office/drawing/2014/main" pred="{A5DCB78B-8F7A-B0DB-0057-0D962B1AE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62000" y="77666850"/>
          <a:ext cx="4572000" cy="1123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1</xdr:row>
      <xdr:rowOff>180975</xdr:rowOff>
    </xdr:from>
    <xdr:to>
      <xdr:col>6</xdr:col>
      <xdr:colOff>173355</xdr:colOff>
      <xdr:row>16</xdr:row>
      <xdr:rowOff>1229</xdr:rowOff>
    </xdr:to>
    <xdr:pic>
      <xdr:nvPicPr>
        <xdr:cNvPr id="6" name="Bilde 1">
          <a:extLst>
            <a:ext uri="{FF2B5EF4-FFF2-40B4-BE49-F238E27FC236}">
              <a16:creationId xmlns:a16="http://schemas.microsoft.com/office/drawing/2014/main" id="{8DCD3460-9E2E-7DA0-2125-5DB0FE8C1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71475"/>
          <a:ext cx="4743450" cy="2677754"/>
        </a:xfrm>
        <a:prstGeom prst="rect">
          <a:avLst/>
        </a:prstGeom>
      </xdr:spPr>
    </xdr:pic>
    <xdr:clientData/>
  </xdr:twoCellAnchor>
  <xdr:twoCellAnchor editAs="oneCell">
    <xdr:from>
      <xdr:col>0</xdr:col>
      <xdr:colOff>681199</xdr:colOff>
      <xdr:row>20</xdr:row>
      <xdr:rowOff>19050</xdr:rowOff>
    </xdr:from>
    <xdr:to>
      <xdr:col>6</xdr:col>
      <xdr:colOff>244568</xdr:colOff>
      <xdr:row>33</xdr:row>
      <xdr:rowOff>53340</xdr:rowOff>
    </xdr:to>
    <xdr:pic>
      <xdr:nvPicPr>
        <xdr:cNvPr id="7" name="Bilde 1">
          <a:extLst>
            <a:ext uri="{FF2B5EF4-FFF2-40B4-BE49-F238E27FC236}">
              <a16:creationId xmlns:a16="http://schemas.microsoft.com/office/drawing/2014/main" id="{3AD59CC3-2C1F-5F4E-3F31-77DC47AE6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199" y="3829050"/>
          <a:ext cx="4727824" cy="25146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37</xdr:row>
      <xdr:rowOff>180975</xdr:rowOff>
    </xdr:from>
    <xdr:to>
      <xdr:col>7</xdr:col>
      <xdr:colOff>76201</xdr:colOff>
      <xdr:row>51</xdr:row>
      <xdr:rowOff>19212</xdr:rowOff>
    </xdr:to>
    <xdr:pic>
      <xdr:nvPicPr>
        <xdr:cNvPr id="3" name="Bilde 1">
          <a:extLst>
            <a:ext uri="{FF2B5EF4-FFF2-40B4-BE49-F238E27FC236}">
              <a16:creationId xmlns:a16="http://schemas.microsoft.com/office/drawing/2014/main" id="{BF36EC43-C606-B117-6F09-D19CA7FF8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1" y="7229475"/>
          <a:ext cx="4629150" cy="249190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56</xdr:row>
      <xdr:rowOff>0</xdr:rowOff>
    </xdr:from>
    <xdr:to>
      <xdr:col>7</xdr:col>
      <xdr:colOff>438844</xdr:colOff>
      <xdr:row>68</xdr:row>
      <xdr:rowOff>21278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636B8DD0-9DF4-8ADE-6F76-FE93EE370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0575" y="10668000"/>
          <a:ext cx="4972744" cy="2314898"/>
        </a:xfrm>
        <a:prstGeom prst="rect">
          <a:avLst/>
        </a:prstGeom>
      </xdr:spPr>
    </xdr:pic>
    <xdr:clientData/>
  </xdr:twoCellAnchor>
  <xdr:twoCellAnchor editAs="oneCell">
    <xdr:from>
      <xdr:col>0</xdr:col>
      <xdr:colOff>742950</xdr:colOff>
      <xdr:row>71</xdr:row>
      <xdr:rowOff>171450</xdr:rowOff>
    </xdr:from>
    <xdr:to>
      <xdr:col>6</xdr:col>
      <xdr:colOff>267355</xdr:colOff>
      <xdr:row>86</xdr:row>
      <xdr:rowOff>374</xdr:rowOff>
    </xdr:to>
    <xdr:pic>
      <xdr:nvPicPr>
        <xdr:cNvPr id="8" name="Bilde 7">
          <a:extLst>
            <a:ext uri="{FF2B5EF4-FFF2-40B4-BE49-F238E27FC236}">
              <a16:creationId xmlns:a16="http://schemas.microsoft.com/office/drawing/2014/main" id="{3CF0FC25-B448-E468-F85F-F86CAA58C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2950" y="13696950"/>
          <a:ext cx="4696480" cy="2676899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91</xdr:row>
      <xdr:rowOff>38100</xdr:rowOff>
    </xdr:from>
    <xdr:to>
      <xdr:col>6</xdr:col>
      <xdr:colOff>288352</xdr:colOff>
      <xdr:row>104</xdr:row>
      <xdr:rowOff>91794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046C1E28-F54C-2A21-AD79-4A848324C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6250" y="17373600"/>
          <a:ext cx="4991797" cy="2534004"/>
        </a:xfrm>
        <a:prstGeom prst="rect">
          <a:avLst/>
        </a:prstGeom>
      </xdr:spPr>
    </xdr:pic>
    <xdr:clientData/>
  </xdr:twoCellAnchor>
  <xdr:twoCellAnchor editAs="oneCell">
    <xdr:from>
      <xdr:col>0</xdr:col>
      <xdr:colOff>733425</xdr:colOff>
      <xdr:row>108</xdr:row>
      <xdr:rowOff>9525</xdr:rowOff>
    </xdr:from>
    <xdr:to>
      <xdr:col>6</xdr:col>
      <xdr:colOff>168283</xdr:colOff>
      <xdr:row>121</xdr:row>
      <xdr:rowOff>38450</xdr:rowOff>
    </xdr:to>
    <xdr:pic>
      <xdr:nvPicPr>
        <xdr:cNvPr id="9" name="Bilde 8">
          <a:extLst>
            <a:ext uri="{FF2B5EF4-FFF2-40B4-BE49-F238E27FC236}">
              <a16:creationId xmlns:a16="http://schemas.microsoft.com/office/drawing/2014/main" id="{72B28A11-F6A1-F74E-E357-BB8081774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3425" y="20583525"/>
          <a:ext cx="4610743" cy="250542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125</xdr:row>
      <xdr:rowOff>7620</xdr:rowOff>
    </xdr:from>
    <xdr:to>
      <xdr:col>7</xdr:col>
      <xdr:colOff>132905</xdr:colOff>
      <xdr:row>136</xdr:row>
      <xdr:rowOff>133559</xdr:rowOff>
    </xdr:to>
    <xdr:pic>
      <xdr:nvPicPr>
        <xdr:cNvPr id="12" name="Bilde 1">
          <a:extLst>
            <a:ext uri="{FF2B5EF4-FFF2-40B4-BE49-F238E27FC236}">
              <a16:creationId xmlns:a16="http://schemas.microsoft.com/office/drawing/2014/main" id="{98D83AE5-FD19-56BB-5CEB-814BEFFF4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2480" y="22867620"/>
          <a:ext cx="4701095" cy="22176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7</xdr:col>
      <xdr:colOff>134005</xdr:colOff>
      <xdr:row>147</xdr:row>
      <xdr:rowOff>171606</xdr:rowOff>
    </xdr:to>
    <xdr:pic>
      <xdr:nvPicPr>
        <xdr:cNvPr id="14" name="Bilde 13">
          <a:extLst>
            <a:ext uri="{FF2B5EF4-FFF2-40B4-BE49-F238E27FC236}">
              <a16:creationId xmlns:a16="http://schemas.microsoft.com/office/drawing/2014/main" id="{486B5571-F2CF-9E0B-981C-93E49DDDA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27051000"/>
          <a:ext cx="4696480" cy="1114581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151</xdr:row>
      <xdr:rowOff>0</xdr:rowOff>
    </xdr:from>
    <xdr:to>
      <xdr:col>7</xdr:col>
      <xdr:colOff>95250</xdr:colOff>
      <xdr:row>157</xdr:row>
      <xdr:rowOff>174235</xdr:rowOff>
    </xdr:to>
    <xdr:pic>
      <xdr:nvPicPr>
        <xdr:cNvPr id="10" name="Bilde 9">
          <a:extLst>
            <a:ext uri="{FF2B5EF4-FFF2-40B4-BE49-F238E27FC236}">
              <a16:creationId xmlns:a16="http://schemas.microsoft.com/office/drawing/2014/main" id="{481B5B76-C83F-83CF-145D-E615EACF3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38200" y="28765500"/>
          <a:ext cx="4581525" cy="13324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161</xdr:row>
      <xdr:rowOff>19050</xdr:rowOff>
    </xdr:from>
    <xdr:to>
      <xdr:col>7</xdr:col>
      <xdr:colOff>210215</xdr:colOff>
      <xdr:row>178</xdr:row>
      <xdr:rowOff>133817</xdr:rowOff>
    </xdr:to>
    <xdr:pic>
      <xdr:nvPicPr>
        <xdr:cNvPr id="15" name="Bilde 10">
          <a:extLst>
            <a:ext uri="{FF2B5EF4-FFF2-40B4-BE49-F238E27FC236}">
              <a16:creationId xmlns:a16="http://schemas.microsoft.com/office/drawing/2014/main" id="{4D436708-EA1D-4668-1ECE-A82055CE0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1525" y="30689550"/>
          <a:ext cx="4763165" cy="3343742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182</xdr:row>
      <xdr:rowOff>9525</xdr:rowOff>
    </xdr:from>
    <xdr:to>
      <xdr:col>6</xdr:col>
      <xdr:colOff>168331</xdr:colOff>
      <xdr:row>191</xdr:row>
      <xdr:rowOff>19289</xdr:rowOff>
    </xdr:to>
    <xdr:pic>
      <xdr:nvPicPr>
        <xdr:cNvPr id="13" name="Bilde 1">
          <a:extLst>
            <a:ext uri="{FF2B5EF4-FFF2-40B4-BE49-F238E27FC236}">
              <a16:creationId xmlns:a16="http://schemas.microsoft.com/office/drawing/2014/main" id="{89E6FAA9-F598-0A6E-BB31-43615D365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90525" y="34680525"/>
          <a:ext cx="4953691" cy="1714739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228</xdr:row>
      <xdr:rowOff>152400</xdr:rowOff>
    </xdr:from>
    <xdr:to>
      <xdr:col>6</xdr:col>
      <xdr:colOff>135949</xdr:colOff>
      <xdr:row>238</xdr:row>
      <xdr:rowOff>173625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61A4DE80-19EE-D108-E01E-37E5B4182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42900" y="43624500"/>
          <a:ext cx="4972744" cy="1933845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</xdr:colOff>
      <xdr:row>241</xdr:row>
      <xdr:rowOff>123825</xdr:rowOff>
    </xdr:from>
    <xdr:to>
      <xdr:col>6</xdr:col>
      <xdr:colOff>229302</xdr:colOff>
      <xdr:row>258</xdr:row>
      <xdr:rowOff>173815</xdr:rowOff>
    </xdr:to>
    <xdr:pic>
      <xdr:nvPicPr>
        <xdr:cNvPr id="11" name="Bilde 10">
          <a:extLst>
            <a:ext uri="{FF2B5EF4-FFF2-40B4-BE49-F238E27FC236}">
              <a16:creationId xmlns:a16="http://schemas.microsoft.com/office/drawing/2014/main" id="{B079F6E0-3D16-68AF-E4EE-8553B468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1475" y="46072425"/>
          <a:ext cx="5029902" cy="329611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263</xdr:row>
      <xdr:rowOff>19050</xdr:rowOff>
    </xdr:from>
    <xdr:to>
      <xdr:col>5</xdr:col>
      <xdr:colOff>364452</xdr:colOff>
      <xdr:row>267</xdr:row>
      <xdr:rowOff>173484</xdr:rowOff>
    </xdr:to>
    <xdr:pic>
      <xdr:nvPicPr>
        <xdr:cNvPr id="16" name="Bilde 15">
          <a:extLst>
            <a:ext uri="{FF2B5EF4-FFF2-40B4-BE49-F238E27FC236}">
              <a16:creationId xmlns:a16="http://schemas.microsoft.com/office/drawing/2014/main" id="{EED701A0-E138-C59E-9D24-6C7D18B45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04825" y="50158650"/>
          <a:ext cx="4277322" cy="924054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331</xdr:row>
      <xdr:rowOff>38100</xdr:rowOff>
    </xdr:from>
    <xdr:to>
      <xdr:col>6</xdr:col>
      <xdr:colOff>360772</xdr:colOff>
      <xdr:row>347</xdr:row>
      <xdr:rowOff>133766</xdr:rowOff>
    </xdr:to>
    <xdr:pic>
      <xdr:nvPicPr>
        <xdr:cNvPr id="17" name="Bilde 16">
          <a:extLst>
            <a:ext uri="{FF2B5EF4-FFF2-40B4-BE49-F238E27FC236}">
              <a16:creationId xmlns:a16="http://schemas.microsoft.com/office/drawing/2014/main" id="{49AB967C-7D4C-99CF-2174-77773F736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42925" y="60036075"/>
          <a:ext cx="5208997" cy="2983646"/>
        </a:xfrm>
        <a:prstGeom prst="rect">
          <a:avLst/>
        </a:prstGeom>
      </xdr:spPr>
    </xdr:pic>
    <xdr:clientData/>
  </xdr:twoCellAnchor>
  <xdr:twoCellAnchor editAs="oneCell">
    <xdr:from>
      <xdr:col>0</xdr:col>
      <xdr:colOff>891540</xdr:colOff>
      <xdr:row>350</xdr:row>
      <xdr:rowOff>160020</xdr:rowOff>
    </xdr:from>
    <xdr:to>
      <xdr:col>6</xdr:col>
      <xdr:colOff>716720</xdr:colOff>
      <xdr:row>366</xdr:row>
      <xdr:rowOff>175525</xdr:rowOff>
    </xdr:to>
    <xdr:pic>
      <xdr:nvPicPr>
        <xdr:cNvPr id="19" name="Bilde 17">
          <a:extLst>
            <a:ext uri="{FF2B5EF4-FFF2-40B4-BE49-F238E27FC236}">
              <a16:creationId xmlns:a16="http://schemas.microsoft.com/office/drawing/2014/main" id="{DD453FBC-BAF7-D371-4341-4DF97BF36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91540" y="64244220"/>
          <a:ext cx="5082980" cy="3063505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384</xdr:row>
      <xdr:rowOff>171450</xdr:rowOff>
    </xdr:from>
    <xdr:to>
      <xdr:col>6</xdr:col>
      <xdr:colOff>693</xdr:colOff>
      <xdr:row>396</xdr:row>
      <xdr:rowOff>143190</xdr:rowOff>
    </xdr:to>
    <xdr:pic>
      <xdr:nvPicPr>
        <xdr:cNvPr id="18" name="Bilde 17">
          <a:extLst>
            <a:ext uri="{FF2B5EF4-FFF2-40B4-BE49-F238E27FC236}">
              <a16:creationId xmlns:a16="http://schemas.microsoft.com/office/drawing/2014/main" id="{755FF8DC-A6BB-DBD6-644A-83158692D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95275" y="73437750"/>
          <a:ext cx="4963218" cy="225774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399</xdr:row>
      <xdr:rowOff>171450</xdr:rowOff>
    </xdr:from>
    <xdr:to>
      <xdr:col>7</xdr:col>
      <xdr:colOff>191346</xdr:colOff>
      <xdr:row>413</xdr:row>
      <xdr:rowOff>347</xdr:rowOff>
    </xdr:to>
    <xdr:pic>
      <xdr:nvPicPr>
        <xdr:cNvPr id="23" name="Bilde 22">
          <a:extLst>
            <a:ext uri="{FF2B5EF4-FFF2-40B4-BE49-F238E27FC236}">
              <a16:creationId xmlns:a16="http://schemas.microsoft.com/office/drawing/2014/main" id="{9931E0E6-5089-87E9-6CC7-5D6C829F9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2400" y="76295250"/>
          <a:ext cx="6058746" cy="2486372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416</xdr:row>
      <xdr:rowOff>57150</xdr:rowOff>
    </xdr:from>
    <xdr:to>
      <xdr:col>6</xdr:col>
      <xdr:colOff>248371</xdr:colOff>
      <xdr:row>426</xdr:row>
      <xdr:rowOff>28837</xdr:rowOff>
    </xdr:to>
    <xdr:pic>
      <xdr:nvPicPr>
        <xdr:cNvPr id="22" name="Bilde 19">
          <a:extLst>
            <a:ext uri="{FF2B5EF4-FFF2-40B4-BE49-F238E27FC236}">
              <a16:creationId xmlns:a16="http://schemas.microsoft.com/office/drawing/2014/main" id="{74301E53-A89B-1CA7-6087-41A35D657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42900" y="79419450"/>
          <a:ext cx="5163271" cy="1876687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435</xdr:row>
      <xdr:rowOff>123825</xdr:rowOff>
    </xdr:from>
    <xdr:to>
      <xdr:col>4</xdr:col>
      <xdr:colOff>505374</xdr:colOff>
      <xdr:row>440</xdr:row>
      <xdr:rowOff>38221</xdr:rowOff>
    </xdr:to>
    <xdr:pic>
      <xdr:nvPicPr>
        <xdr:cNvPr id="20" name="Bilde 19">
          <a:extLst>
            <a:ext uri="{FF2B5EF4-FFF2-40B4-BE49-F238E27FC236}">
              <a16:creationId xmlns:a16="http://schemas.microsoft.com/office/drawing/2014/main" id="{8A91337E-E967-C957-25D0-01A2CDF07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04800" y="83105625"/>
          <a:ext cx="3934374" cy="866896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443</xdr:row>
      <xdr:rowOff>9524</xdr:rowOff>
    </xdr:from>
    <xdr:to>
      <xdr:col>4</xdr:col>
      <xdr:colOff>444125</xdr:colOff>
      <xdr:row>447</xdr:row>
      <xdr:rowOff>38099</xdr:rowOff>
    </xdr:to>
    <xdr:pic>
      <xdr:nvPicPr>
        <xdr:cNvPr id="25" name="Bilde 24">
          <a:extLst>
            <a:ext uri="{FF2B5EF4-FFF2-40B4-BE49-F238E27FC236}">
              <a16:creationId xmlns:a16="http://schemas.microsoft.com/office/drawing/2014/main" id="{078E85DC-7E92-2C78-64A9-C878E736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09550" y="84515324"/>
          <a:ext cx="3968375" cy="790575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450</xdr:row>
      <xdr:rowOff>171450</xdr:rowOff>
    </xdr:from>
    <xdr:to>
      <xdr:col>6</xdr:col>
      <xdr:colOff>19745</xdr:colOff>
      <xdr:row>465</xdr:row>
      <xdr:rowOff>9901</xdr:rowOff>
    </xdr:to>
    <xdr:pic>
      <xdr:nvPicPr>
        <xdr:cNvPr id="21" name="Bilde 20">
          <a:extLst>
            <a:ext uri="{FF2B5EF4-FFF2-40B4-BE49-F238E27FC236}">
              <a16:creationId xmlns:a16="http://schemas.microsoft.com/office/drawing/2014/main" id="{3908E93D-34C9-8A3C-AABA-E271E3C57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95275" y="86010750"/>
          <a:ext cx="4982270" cy="2695951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467</xdr:row>
      <xdr:rowOff>180975</xdr:rowOff>
    </xdr:from>
    <xdr:to>
      <xdr:col>5</xdr:col>
      <xdr:colOff>82795</xdr:colOff>
      <xdr:row>475</xdr:row>
      <xdr:rowOff>84013</xdr:rowOff>
    </xdr:to>
    <xdr:pic>
      <xdr:nvPicPr>
        <xdr:cNvPr id="24" name="Bilde 25">
          <a:extLst>
            <a:ext uri="{FF2B5EF4-FFF2-40B4-BE49-F238E27FC236}">
              <a16:creationId xmlns:a16="http://schemas.microsoft.com/office/drawing/2014/main" id="{BC2F54A6-7540-7BAA-69FC-15CD4C7FF110}"/>
            </a:ext>
            <a:ext uri="{147F2762-F138-4A5C-976F-8EAC2B608ADB}">
              <a16:predDERef xmlns:a16="http://schemas.microsoft.com/office/drawing/2014/main" pred="{3908E93D-34C9-8A3C-AABA-E271E3C57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52425" y="89258775"/>
          <a:ext cx="4353533" cy="138131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477</xdr:row>
      <xdr:rowOff>142875</xdr:rowOff>
    </xdr:from>
    <xdr:to>
      <xdr:col>5</xdr:col>
      <xdr:colOff>723899</xdr:colOff>
      <xdr:row>484</xdr:row>
      <xdr:rowOff>85571</xdr:rowOff>
    </xdr:to>
    <xdr:pic>
      <xdr:nvPicPr>
        <xdr:cNvPr id="30" name="Bilde 23">
          <a:extLst>
            <a:ext uri="{FF2B5EF4-FFF2-40B4-BE49-F238E27FC236}">
              <a16:creationId xmlns:a16="http://schemas.microsoft.com/office/drawing/2014/main" id="{63B390B9-E091-225F-62FA-A6D6FD2C7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76250" y="91125675"/>
          <a:ext cx="4743449" cy="1276196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490</xdr:row>
      <xdr:rowOff>171451</xdr:rowOff>
    </xdr:from>
    <xdr:to>
      <xdr:col>7</xdr:col>
      <xdr:colOff>85725</xdr:colOff>
      <xdr:row>503</xdr:row>
      <xdr:rowOff>53579</xdr:rowOff>
    </xdr:to>
    <xdr:pic>
      <xdr:nvPicPr>
        <xdr:cNvPr id="31" name="Bilde 25">
          <a:extLst>
            <a:ext uri="{FF2B5EF4-FFF2-40B4-BE49-F238E27FC236}">
              <a16:creationId xmlns:a16="http://schemas.microsoft.com/office/drawing/2014/main" id="{AD8D44E5-F6F0-8BC8-7048-520B8EB4A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71500" y="93630751"/>
          <a:ext cx="5534025" cy="2358628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508</xdr:row>
      <xdr:rowOff>9525</xdr:rowOff>
    </xdr:from>
    <xdr:to>
      <xdr:col>5</xdr:col>
      <xdr:colOff>534057</xdr:colOff>
      <xdr:row>525</xdr:row>
      <xdr:rowOff>9977</xdr:rowOff>
    </xdr:to>
    <xdr:pic>
      <xdr:nvPicPr>
        <xdr:cNvPr id="27" name="Bilde 25">
          <a:extLst>
            <a:ext uri="{FF2B5EF4-FFF2-40B4-BE49-F238E27FC236}">
              <a16:creationId xmlns:a16="http://schemas.microsoft.com/office/drawing/2014/main" id="{74572F6C-F45F-4A6A-97EF-989629448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23850" y="96897825"/>
          <a:ext cx="4706007" cy="3238952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530</xdr:row>
      <xdr:rowOff>38100</xdr:rowOff>
    </xdr:from>
    <xdr:to>
      <xdr:col>3</xdr:col>
      <xdr:colOff>143275</xdr:colOff>
      <xdr:row>533</xdr:row>
      <xdr:rowOff>38180</xdr:rowOff>
    </xdr:to>
    <xdr:pic>
      <xdr:nvPicPr>
        <xdr:cNvPr id="26" name="Bilde 25">
          <a:extLst>
            <a:ext uri="{FF2B5EF4-FFF2-40B4-BE49-F238E27FC236}">
              <a16:creationId xmlns:a16="http://schemas.microsoft.com/office/drawing/2014/main" id="{36C5AB28-E5B1-7FB8-93ED-FC7EB8370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7650" y="101117400"/>
          <a:ext cx="2867425" cy="57158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538</xdr:row>
      <xdr:rowOff>19050</xdr:rowOff>
    </xdr:from>
    <xdr:to>
      <xdr:col>5</xdr:col>
      <xdr:colOff>591255</xdr:colOff>
      <xdr:row>543</xdr:row>
      <xdr:rowOff>57288</xdr:rowOff>
    </xdr:to>
    <xdr:pic>
      <xdr:nvPicPr>
        <xdr:cNvPr id="28" name="Bilde 27">
          <a:extLst>
            <a:ext uri="{FF2B5EF4-FFF2-40B4-BE49-F238E27FC236}">
              <a16:creationId xmlns:a16="http://schemas.microsoft.com/office/drawing/2014/main" id="{DA4EC071-5220-EDF8-C6EA-9DB1F680F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8100" y="102622350"/>
          <a:ext cx="5048955" cy="990738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546</xdr:row>
      <xdr:rowOff>171450</xdr:rowOff>
    </xdr:from>
    <xdr:to>
      <xdr:col>6</xdr:col>
      <xdr:colOff>76910</xdr:colOff>
      <xdr:row>557</xdr:row>
      <xdr:rowOff>76479</xdr:rowOff>
    </xdr:to>
    <xdr:pic>
      <xdr:nvPicPr>
        <xdr:cNvPr id="33" name="Bilde 28">
          <a:extLst>
            <a:ext uri="{FF2B5EF4-FFF2-40B4-BE49-F238E27FC236}">
              <a16:creationId xmlns:a16="http://schemas.microsoft.com/office/drawing/2014/main" id="{63C23D05-8EA2-8265-12F0-D832401A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47650" y="104298750"/>
          <a:ext cx="5087060" cy="2000529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561</xdr:row>
      <xdr:rowOff>9525</xdr:rowOff>
    </xdr:from>
    <xdr:to>
      <xdr:col>6</xdr:col>
      <xdr:colOff>19050</xdr:colOff>
      <xdr:row>568</xdr:row>
      <xdr:rowOff>11027</xdr:rowOff>
    </xdr:to>
    <xdr:pic>
      <xdr:nvPicPr>
        <xdr:cNvPr id="37" name="Bilde 31">
          <a:extLst>
            <a:ext uri="{FF2B5EF4-FFF2-40B4-BE49-F238E27FC236}">
              <a16:creationId xmlns:a16="http://schemas.microsoft.com/office/drawing/2014/main" id="{1CB9E1B8-8B5B-FA3F-23EC-E74F99CD3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14325" y="106994325"/>
          <a:ext cx="4962525" cy="1335002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580</xdr:row>
      <xdr:rowOff>129540</xdr:rowOff>
    </xdr:from>
    <xdr:to>
      <xdr:col>6</xdr:col>
      <xdr:colOff>453</xdr:colOff>
      <xdr:row>589</xdr:row>
      <xdr:rowOff>137303</xdr:rowOff>
    </xdr:to>
    <xdr:pic>
      <xdr:nvPicPr>
        <xdr:cNvPr id="29" name="Bilde 28">
          <a:extLst>
            <a:ext uri="{FF2B5EF4-FFF2-40B4-BE49-F238E27FC236}">
              <a16:creationId xmlns:a16="http://schemas.microsoft.com/office/drawing/2014/main" id="{A4ADD9D7-8899-BDE0-5EF5-5B03D1974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2880" y="106291380"/>
          <a:ext cx="5227773" cy="1653683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297180</xdr:colOff>
      <xdr:row>592</xdr:row>
      <xdr:rowOff>175260</xdr:rowOff>
    </xdr:from>
    <xdr:to>
      <xdr:col>6</xdr:col>
      <xdr:colOff>46167</xdr:colOff>
      <xdr:row>599</xdr:row>
      <xdr:rowOff>53440</xdr:rowOff>
    </xdr:to>
    <xdr:pic>
      <xdr:nvPicPr>
        <xdr:cNvPr id="34" name="Bilde 33">
          <a:extLst>
            <a:ext uri="{FF2B5EF4-FFF2-40B4-BE49-F238E27FC236}">
              <a16:creationId xmlns:a16="http://schemas.microsoft.com/office/drawing/2014/main" id="{DE53B8FE-ECFF-BB43-B68C-A2E336CB1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97180" y="110543340"/>
          <a:ext cx="5159187" cy="11583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601</xdr:row>
      <xdr:rowOff>9525</xdr:rowOff>
    </xdr:from>
    <xdr:to>
      <xdr:col>15</xdr:col>
      <xdr:colOff>352425</xdr:colOff>
      <xdr:row>609</xdr:row>
      <xdr:rowOff>142875</xdr:rowOff>
    </xdr:to>
    <xdr:pic>
      <xdr:nvPicPr>
        <xdr:cNvPr id="32" name="Bilde 3">
          <a:extLst>
            <a:ext uri="{FF2B5EF4-FFF2-40B4-BE49-F238E27FC236}">
              <a16:creationId xmlns:a16="http://schemas.microsoft.com/office/drawing/2014/main" id="{80D5F5B7-4070-0CB0-F4EF-988166F3E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614325"/>
          <a:ext cx="1225867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37</xdr:row>
      <xdr:rowOff>142875</xdr:rowOff>
    </xdr:from>
    <xdr:to>
      <xdr:col>6</xdr:col>
      <xdr:colOff>705532</xdr:colOff>
      <xdr:row>48</xdr:row>
      <xdr:rowOff>95250</xdr:rowOff>
    </xdr:to>
    <xdr:pic>
      <xdr:nvPicPr>
        <xdr:cNvPr id="7" name="Bilde 1">
          <a:extLst>
            <a:ext uri="{FF2B5EF4-FFF2-40B4-BE49-F238E27FC236}">
              <a16:creationId xmlns:a16="http://schemas.microsoft.com/office/drawing/2014/main" id="{0DA8168C-9599-E75E-574E-4A70158AD3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3318"/>
        <a:stretch/>
      </xdr:blipFill>
      <xdr:spPr>
        <a:xfrm>
          <a:off x="914400" y="7191375"/>
          <a:ext cx="4887007" cy="2047875"/>
        </a:xfrm>
        <a:prstGeom prst="rect">
          <a:avLst/>
        </a:prstGeom>
      </xdr:spPr>
    </xdr:pic>
    <xdr:clientData/>
  </xdr:twoCellAnchor>
  <xdr:twoCellAnchor>
    <xdr:from>
      <xdr:col>0</xdr:col>
      <xdr:colOff>809625</xdr:colOff>
      <xdr:row>4</xdr:row>
      <xdr:rowOff>95250</xdr:rowOff>
    </xdr:from>
    <xdr:to>
      <xdr:col>8</xdr:col>
      <xdr:colOff>428625</xdr:colOff>
      <xdr:row>34</xdr:row>
      <xdr:rowOff>66675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1FE5A5B6-60BC-5959-8030-A7591FD73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857250"/>
          <a:ext cx="5829300" cy="568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7</xdr:col>
      <xdr:colOff>267433</xdr:colOff>
      <xdr:row>64</xdr:row>
      <xdr:rowOff>114608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6BA36877-ADDA-231C-5EAE-AB6DA4B31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6300" y="10477500"/>
          <a:ext cx="5249008" cy="22101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180975</xdr:rowOff>
    </xdr:from>
    <xdr:to>
      <xdr:col>6</xdr:col>
      <xdr:colOff>553116</xdr:colOff>
      <xdr:row>77</xdr:row>
      <xdr:rowOff>171741</xdr:rowOff>
    </xdr:to>
    <xdr:pic>
      <xdr:nvPicPr>
        <xdr:cNvPr id="6" name="Bilde 4" descr="Et bilde som inneholder tekst, skjermbilde, Font, nummer&#10;&#10;Automatisk generert beskrivelse">
          <a:extLst>
            <a:ext uri="{FF2B5EF4-FFF2-40B4-BE49-F238E27FC236}">
              <a16:creationId xmlns:a16="http://schemas.microsoft.com/office/drawing/2014/main" id="{EA1552FB-F25A-6909-E8CA-2CB6B5264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6300" y="12753975"/>
          <a:ext cx="4772691" cy="208626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79</xdr:row>
      <xdr:rowOff>38100</xdr:rowOff>
    </xdr:from>
    <xdr:to>
      <xdr:col>6</xdr:col>
      <xdr:colOff>334008</xdr:colOff>
      <xdr:row>89</xdr:row>
      <xdr:rowOff>105050</xdr:rowOff>
    </xdr:to>
    <xdr:pic>
      <xdr:nvPicPr>
        <xdr:cNvPr id="2" name="Bilde 1" descr="Et bilde som inneholder tekst, skjermbilde, Font, nummer&#10;&#10;Automatisk generert beskrivelse">
          <a:extLst>
            <a:ext uri="{FF2B5EF4-FFF2-40B4-BE49-F238E27FC236}">
              <a16:creationId xmlns:a16="http://schemas.microsoft.com/office/drawing/2014/main" id="{B3209A61-35EF-C44D-90BB-78EE8483B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5350" y="15087600"/>
          <a:ext cx="4534533" cy="1971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79830</xdr:colOff>
      <xdr:row>1</xdr:row>
      <xdr:rowOff>25400</xdr:rowOff>
    </xdr:from>
    <xdr:to>
      <xdr:col>2</xdr:col>
      <xdr:colOff>1446979</xdr:colOff>
      <xdr:row>5</xdr:row>
      <xdr:rowOff>168144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F2667C86-BBD9-B4EA-BF8E-00133FC3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30" y="406400"/>
          <a:ext cx="3028762" cy="126796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97973</xdr:colOff>
      <xdr:row>1</xdr:row>
      <xdr:rowOff>108856</xdr:rowOff>
    </xdr:from>
    <xdr:to>
      <xdr:col>1</xdr:col>
      <xdr:colOff>1729580</xdr:colOff>
      <xdr:row>1</xdr:row>
      <xdr:rowOff>1045026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765007D4-73B3-9D70-8532-87BECEA84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73" y="424542"/>
          <a:ext cx="2284750" cy="93617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38100</xdr:rowOff>
    </xdr:from>
    <xdr:to>
      <xdr:col>1</xdr:col>
      <xdr:colOff>1772261</xdr:colOff>
      <xdr:row>2</xdr:row>
      <xdr:rowOff>2471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E3E02807-886B-7132-8DC2-F8E9D1520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2658086" cy="103641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ek Obodzinski" id="{7ADD19AF-E00E-444D-8803-022E187147CB}" userId="S::marek@straye.no::549b8dd4-c72d-4639-bd6c-1872a9c62455" providerId="AD"/>
  <person displayName="Henrik Karlsen" id="{A369176D-24C3-4A6B-9AC9-BE24E7265EF6}" userId="S::Henrik@straye.no::aa8e2000-86a7-4fd3-8bba-09ee2de54b5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9" dT="2022-11-28T14:40:08.05" personId="{A369176D-24C3-4A6B-9AC9-BE24E7265EF6}" id="{7D2B9900-C5DD-4D1D-B55D-2DA274974F94}">
    <text>Areal er belagt areal- ikke hele takarealet</text>
  </threadedComment>
  <threadedComment ref="N34" dT="2022-11-28T14:40:08.05" personId="{A369176D-24C3-4A6B-9AC9-BE24E7265EF6}" id="{527D6C1E-B7D8-4B91-8915-2C97B3234FE1}">
    <text>Areal er belagt areal- ikke hele takarealet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0" dT="2023-03-21T12:46:47.22" personId="{A369176D-24C3-4A6B-9AC9-BE24E7265EF6}" id="{837560C0-6731-41AB-B4BB-CE12CCBCFE4B}">
    <text xml:space="preserve">Intern bekreftelse
</text>
  </threadedComment>
  <threadedComment ref="P10" dT="2023-03-01T11:57:04.95" personId="{A369176D-24C3-4A6B-9AC9-BE24E7265EF6}" id="{ED8BB121-90B5-4604-9298-6B43D0A62B41}">
    <text>15pk Proff 34- 25x 570x 16000</text>
  </threadedComment>
  <threadedComment ref="R10" dT="2023-03-14T11:42:07.54" personId="{A369176D-24C3-4A6B-9AC9-BE24E7265EF6}" id="{4EB9B3DC-E48A-4009-B59E-524C8DD434F0}">
    <text xml:space="preserve">Tak 1-3
</text>
  </threadedComment>
  <threadedComment ref="P11" dT="2023-03-01T11:57:04.95" personId="{A369176D-24C3-4A6B-9AC9-BE24E7265EF6}" id="{27474B10-D106-4A14-A988-5ADD4F8E5576}">
    <text>6pk Proff 34- 25x 570x 16000</text>
  </threadedComment>
  <threadedComment ref="I12" dT="2023-09-12T13:58:31.17" personId="{A369176D-24C3-4A6B-9AC9-BE24E7265EF6}" id="{3E05F2A1-8B21-428B-AC13-57C8688AC800}">
    <text xml:space="preserve">Mattias Stål 20.10.2022
</text>
  </threadedComment>
  <threadedComment ref="T12" dT="2023-09-25T13:24:13.88" personId="{A369176D-24C3-4A6B-9AC9-BE24E7265EF6}" id="{5E291A4C-15A2-49EA-8ADA-47FECF6FC47B}">
    <text>Isola</text>
  </threadedComment>
  <threadedComment ref="I13" dT="2023-06-06T09:36:18.37" personId="{7ADD19AF-E00E-444D-8803-022E187147CB}" id="{216ADE70-D9FB-4FDA-9F4A-4DCCC08129AA}">
    <text>Henrik på telefon med Håkon</text>
  </threadedComment>
  <threadedComment ref="K16" dT="2023-07-13T19:27:38.44" personId="{7ADD19AF-E00E-444D-8803-022E187147CB}" id="{3F74C40F-F828-4713-A328-37005C69DC35}">
    <text>Ja, må bestilles MU</text>
  </threadedComment>
  <threadedComment ref="N17" dT="2022-12-16T15:05:05.71" personId="{A369176D-24C3-4A6B-9AC9-BE24E7265EF6}" id="{C8341C4B-7116-4A60-B963-2B01BED4C08D}">
    <text>IA</text>
  </threadedComment>
  <threadedComment ref="I18" dT="2023-09-04T08:23:41.03" personId="{A369176D-24C3-4A6B-9AC9-BE24E7265EF6}" id="{66D87DFB-227A-4F5C-8040-42D0845CD7A3}">
    <text>MU over messaninområde</text>
  </threadedComment>
  <threadedComment ref="Q20" dT="2023-06-26T06:29:45.63" personId="{7ADD19AF-E00E-444D-8803-022E187147CB}" id="{3804F16A-32B7-4B57-970E-89F712D1A57A}">
    <text>Wurth nærmeste butikk, baåde skade og dekkhotel</text>
  </threadedComment>
  <threadedComment ref="T20" dT="2023-06-26T08:05:47.48" personId="{7ADD19AF-E00E-444D-8803-022E187147CB}" id="{C238859B-6963-4752-91B7-7F4F47CE827A}">
    <text>Leveres 29.06</text>
  </threadedComment>
  <threadedComment ref="V20" dT="2023-06-22T05:24:01.52" personId="{7ADD19AF-E00E-444D-8803-022E187147CB}" id="{95541E0D-B81B-48B4-B52B-97FCCD7C85EF}">
    <text>Venter på svar</text>
  </threadedComment>
  <threadedComment ref="O23" dT="2023-06-05T08:32:30.07" personId="{A369176D-24C3-4A6B-9AC9-BE24E7265EF6}" id="{1A610448-2C94-4DCD-A1D0-E26113B754D4}">
    <text>Enighet om Kingspan TR26 grunnet bæresystem i tre.</text>
  </threadedComment>
  <threadedComment ref="I31" dT="2023-08-15T13:47:42.40" personId="{A369176D-24C3-4A6B-9AC9-BE24E7265EF6}" id="{6EE5B0D1-E31B-4E11-860E-3552F5428C26}">
    <text>Snakket med Christer. TG/ preakseptert er godt nok for dem. ☺️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B14" dT="2023-08-11T06:25:48.84" personId="{A369176D-24C3-4A6B-9AC9-BE24E7265EF6}" id="{5006CCC5-787D-4EA4-9B9B-545E7B9FD18C}">
    <text>Del 2</text>
  </threadedComment>
  <threadedComment ref="BC14" dT="2023-08-11T06:25:48.84" personId="{A369176D-24C3-4A6B-9AC9-BE24E7265EF6}" id="{549254AF-7AF0-492C-BDB0-50FF5FB21471}">
    <text>Del 2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AC3C2D3-C329-40F5-8B95-AD2F1DE310AD}">
  <we:reference id="a3b40b4f-8edf-490e-9df1-7e66f93912bf" version="1.1.0.0" store="EXCatalog" storeType="EXCatalog"/>
  <we:alternateReferences>
    <we:reference id="WA104380526" version="1.1.0.0" store="nb-NO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nina.sjernesund@ingka.ikea.com" TargetMode="External"/><Relationship Id="rId21" Type="http://schemas.openxmlformats.org/officeDocument/2006/relationships/hyperlink" Target="mailto:shaider@online.no" TargetMode="External"/><Relationship Id="rId42" Type="http://schemas.openxmlformats.org/officeDocument/2006/relationships/hyperlink" Target="file:///C:/Users/KristofferLund/Documents/Service%20avtaler/Service%20avtale%20Freensborg%20sameie%201.pdf" TargetMode="External"/><Relationship Id="rId47" Type="http://schemas.openxmlformats.org/officeDocument/2006/relationships/hyperlink" Target="file:///C:/Users/KristofferLund/Pictures/Screenshots/Skjermbilde%202025-06-16%20093834.png" TargetMode="External"/><Relationship Id="rId63" Type="http://schemas.openxmlformats.org/officeDocument/2006/relationships/hyperlink" Target="file:///C:/Users/KristofferLund/OneDrive%20-%20Straye%20AS/Kristoffer/Service%20avtaler/Serviceavtale%20Straye%20Tak%20AS%20Industriveien%2027.pdf" TargetMode="External"/><Relationship Id="rId68" Type="http://schemas.openxmlformats.org/officeDocument/2006/relationships/hyperlink" Target="mailto:oyernblikk2@gmail.com" TargetMode="External"/><Relationship Id="rId7" Type="http://schemas.openxmlformats.org/officeDocument/2006/relationships/hyperlink" Target="mailto:aleksander.furulund.swedhs@statsbygg.no" TargetMode="External"/><Relationship Id="rId71" Type="http://schemas.openxmlformats.org/officeDocument/2006/relationships/hyperlink" Target="file:///C:/Users/KristofferLund/OneDrive%20-%20Straye%20AS/Kristoffer/Service%20avtaler/Service%20avtale%20Billingstad%20boligsameie%20ll.pdf" TargetMode="External"/><Relationship Id="rId2" Type="http://schemas.openxmlformats.org/officeDocument/2006/relationships/hyperlink" Target="mailto:arild.sorensen@mallingCO.NO" TargetMode="External"/><Relationship Id="rId16" Type="http://schemas.openxmlformats.org/officeDocument/2006/relationships/hyperlink" Target="mailto:barbros1@getmail.no" TargetMode="External"/><Relationship Id="rId29" Type="http://schemas.openxmlformats.org/officeDocument/2006/relationships/hyperlink" Target="mailto:bjerkepanorama@gmail.com" TargetMode="External"/><Relationship Id="rId11" Type="http://schemas.openxmlformats.org/officeDocument/2006/relationships/hyperlink" Target="mailto:arild@gassarmatur.no" TargetMode="External"/><Relationship Id="rId24" Type="http://schemas.openxmlformats.org/officeDocument/2006/relationships/hyperlink" Target="mailto:stig.motzfeldt@obf.oslo.kommune.no" TargetMode="External"/><Relationship Id="rId32" Type="http://schemas.openxmlformats.org/officeDocument/2006/relationships/hyperlink" Target="file:///C:/Users/KristofferLund/Documents/Service%20avtaler/Panorama%20sameie.pdf" TargetMode="External"/><Relationship Id="rId37" Type="http://schemas.openxmlformats.org/officeDocument/2006/relationships/hyperlink" Target="file:///C:/Users/KristofferLund/Documents/Service%20avtaler/Service%20avtale%20Heiman&#229;sen%20BRL.pdf" TargetMode="External"/><Relationship Id="rId40" Type="http://schemas.openxmlformats.org/officeDocument/2006/relationships/hyperlink" Target="file:///C:/Users/KristofferLund/OneDrive%20-%20Straye%20AS/Dokumenter/Service%20avtaler/Kristoffer/Straye,%20tak,%20underskrevet%20serviceavtale,%20IIdjern&#229;sen,%202025-05-07.jpg" TargetMode="External"/><Relationship Id="rId45" Type="http://schemas.openxmlformats.org/officeDocument/2006/relationships/hyperlink" Target="mailto:hyllebaerstienborettslag@mittusbl.no" TargetMode="External"/><Relationship Id="rId53" Type="http://schemas.openxmlformats.org/officeDocument/2006/relationships/hyperlink" Target="mailto:HBekkevold@fjellhaug.no" TargetMode="External"/><Relationship Id="rId58" Type="http://schemas.openxmlformats.org/officeDocument/2006/relationships/hyperlink" Target="file:///C:/Users/KristofferLund/OneDrive%20-%20Straye%20AS/Bilder/Hellerudparken.jpg" TargetMode="External"/><Relationship Id="rId66" Type="http://schemas.openxmlformats.org/officeDocument/2006/relationships/hyperlink" Target="file:///C:/Users/KristofferLund/OneDrive%20-%20Straye%20AS/Kristoffer/Service%20avtaler/Posten%20Bring%20AS%20-%20Etisk%20Standard%20for%20Leverand&#248;rer%20NO-2024%20-196%20B%2007.11.2025.pdf" TargetMode="External"/><Relationship Id="rId5" Type="http://schemas.openxmlformats.org/officeDocument/2006/relationships/hyperlink" Target="mailto:joakim.borda@gmail.com" TargetMode="External"/><Relationship Id="rId61" Type="http://schemas.openxmlformats.org/officeDocument/2006/relationships/hyperlink" Target="mailto:petter.andersen@posten.no" TargetMode="External"/><Relationship Id="rId19" Type="http://schemas.openxmlformats.org/officeDocument/2006/relationships/hyperlink" Target="mailto:sondreskrenten3@styrerommet.no" TargetMode="External"/><Relationship Id="rId14" Type="http://schemas.openxmlformats.org/officeDocument/2006/relationships/hyperlink" Target="mailto:ai@washify.no" TargetMode="External"/><Relationship Id="rId22" Type="http://schemas.openxmlformats.org/officeDocument/2006/relationships/hyperlink" Target="mailto:ohdevle@online.no" TargetMode="External"/><Relationship Id="rId27" Type="http://schemas.openxmlformats.org/officeDocument/2006/relationships/hyperlink" Target="mailto:ildjernasen@styrerommet.no" TargetMode="External"/><Relationship Id="rId30" Type="http://schemas.openxmlformats.org/officeDocument/2006/relationships/hyperlink" Target="mailto:fredrikhogestol@gmail.com" TargetMode="External"/><Relationship Id="rId35" Type="http://schemas.openxmlformats.org/officeDocument/2006/relationships/hyperlink" Target="file:///C:/Users/KristofferLund/Documents/Service%20avtaler/&#216;ster&#229;s%20boliger.pdf" TargetMode="External"/><Relationship Id="rId43" Type="http://schemas.openxmlformats.org/officeDocument/2006/relationships/hyperlink" Target="file:///C:/Users/KristofferLund/Documents/Service%20avtaler/Service%20avtale%20Kittel-Nielsens%20vei%2059.pdf" TargetMode="External"/><Relationship Id="rId48" Type="http://schemas.openxmlformats.org/officeDocument/2006/relationships/hyperlink" Target="file:///C:/Users/KristofferLund/Documents/Service%20avtaler/Serviceavtale%20Straye%20Tak%20AS%20Sannergata%2014.pdf" TargetMode="External"/><Relationship Id="rId56" Type="http://schemas.openxmlformats.org/officeDocument/2006/relationships/hyperlink" Target="file:///C:/Users/KristofferLund/OneDrive%20-%20Straye%20AS/Kristoffer/Service%20avtaler/Serviceavtale%20Straye%20Tak%20AS%20-%20signert%20Sk&#248;yen%20terrasse.pdf" TargetMode="External"/><Relationship Id="rId64" Type="http://schemas.openxmlformats.org/officeDocument/2006/relationships/hyperlink" Target="file:///C:/Users/KristofferLund/OneDrive%20-%20Straye%20AS/Bilder/Industriveien%2027%20AS%20Godkjent%20avtale%20p&#229;%20mail.%20.jpg" TargetMode="External"/><Relationship Id="rId69" Type="http://schemas.openxmlformats.org/officeDocument/2006/relationships/hyperlink" Target="file:///C:/Users/KristofferLund/OneDrive%20-%20Straye%20AS/Kristoffer/Service%20avtaler/Serviceavtale%20Straye%20Tak%20AS%20kj&#248;rbokollen%2019.pdf" TargetMode="External"/><Relationship Id="rId8" Type="http://schemas.openxmlformats.org/officeDocument/2006/relationships/hyperlink" Target="mailto:thormod.skogstad@gmail.com" TargetMode="External"/><Relationship Id="rId51" Type="http://schemas.openxmlformats.org/officeDocument/2006/relationships/hyperlink" Target="file:///C:/Users/KristofferLund/OneDrive%20-%20Straye%20AS/Dokumenter/Service%20avtaler/Kristoffer/Service%20avtale%20Bj&#248;rnstadtunet%201.pdf" TargetMode="External"/><Relationship Id="rId72" Type="http://schemas.openxmlformats.org/officeDocument/2006/relationships/printerSettings" Target="../printerSettings/printerSettings2.bin"/><Relationship Id="rId3" Type="http://schemas.openxmlformats.org/officeDocument/2006/relationships/hyperlink" Target="mailto:thorleifka@gmail.com" TargetMode="External"/><Relationship Id="rId12" Type="http://schemas.openxmlformats.org/officeDocument/2006/relationships/hyperlink" Target="mailto:pal@fritzon.as" TargetMode="External"/><Relationship Id="rId17" Type="http://schemas.openxmlformats.org/officeDocument/2006/relationships/hyperlink" Target="mailto:vebjorn.olsen@obf.oslo.kommune.no" TargetMode="External"/><Relationship Id="rId25" Type="http://schemas.openxmlformats.org/officeDocument/2006/relationships/hyperlink" Target="mailto:annelene.hauer@ingka.ikea.com" TargetMode="External"/><Relationship Id="rId33" Type="http://schemas.openxmlformats.org/officeDocument/2006/relationships/hyperlink" Target="file:///C:/Users/KristofferLund/Documents/Service%20avtaler/Service%20avtale%20Vestliterrassen%20Boligsameie.pdf" TargetMode="External"/><Relationship Id="rId38" Type="http://schemas.openxmlformats.org/officeDocument/2006/relationships/hyperlink" Target="file:///C:/Users/KristofferLund/Documents/Service%20avtaler/Service%20avtale%20Paraliusveien%202-4.pdf" TargetMode="External"/><Relationship Id="rId46" Type="http://schemas.openxmlformats.org/officeDocument/2006/relationships/hyperlink" Target="file:///C:/Users/KristofferLund/Documents/Service%20avtaler/Service%20avtale%20Hylleb&#230;rstien%20Borettslag.pdf" TargetMode="External"/><Relationship Id="rId59" Type="http://schemas.openxmlformats.org/officeDocument/2006/relationships/hyperlink" Target="mailto:kornmoenga.sameie3@gmail.com" TargetMode="External"/><Relationship Id="rId67" Type="http://schemas.openxmlformats.org/officeDocument/2006/relationships/hyperlink" Target="mailto:pel@mam.no" TargetMode="External"/><Relationship Id="rId20" Type="http://schemas.openxmlformats.org/officeDocument/2006/relationships/hyperlink" Target="mailto:rune.finvold@fpc.no" TargetMode="External"/><Relationship Id="rId41" Type="http://schemas.openxmlformats.org/officeDocument/2006/relationships/hyperlink" Target="file:///C:/Users/KristofferLund/Documents/Service%20avtaler/Nordengveien%202.pdf" TargetMode="External"/><Relationship Id="rId54" Type="http://schemas.openxmlformats.org/officeDocument/2006/relationships/hyperlink" Target="file:///C:/Users/KristofferLund/OneDrive%20-%20Straye%20AS/Kristoffer/Service%20avtaler/Serviceavtale%20Straye%20Tak%20AS%20Oslo%20Kommune.pdf" TargetMode="External"/><Relationship Id="rId62" Type="http://schemas.openxmlformats.org/officeDocument/2006/relationships/hyperlink" Target="mailto:post@nablo.no" TargetMode="External"/><Relationship Id="rId70" Type="http://schemas.openxmlformats.org/officeDocument/2006/relationships/hyperlink" Target="file:///C:/Users/KristofferLund/OneDrive%20-%20Straye%20AS/Kristoffer/Service%20avtaler/Billingstad%20faktura%20informasjon%20.jpg" TargetMode="External"/><Relationship Id="rId1" Type="http://schemas.openxmlformats.org/officeDocument/2006/relationships/hyperlink" Target="mailto:b5@styrerommet.no" TargetMode="External"/><Relationship Id="rId6" Type="http://schemas.openxmlformats.org/officeDocument/2006/relationships/hyperlink" Target="mailto:randarzan@hotmail.com" TargetMode="External"/><Relationship Id="rId15" Type="http://schemas.openxmlformats.org/officeDocument/2006/relationships/hyperlink" Target="mailto:tovergaa@online.no" TargetMode="External"/><Relationship Id="rId23" Type="http://schemas.openxmlformats.org/officeDocument/2006/relationships/hyperlink" Target="mailto:hans2501@gmail.com" TargetMode="External"/><Relationship Id="rId28" Type="http://schemas.openxmlformats.org/officeDocument/2006/relationships/hyperlink" Target="mailto:styret@valdresgataborettslag.no" TargetMode="External"/><Relationship Id="rId36" Type="http://schemas.openxmlformats.org/officeDocument/2006/relationships/hyperlink" Target="file:///C:/Users/KristofferLund/Documents/Service%20avtaler/Service%20avtale%20Akersgaten%2045.pdf" TargetMode="External"/><Relationship Id="rId49" Type="http://schemas.openxmlformats.org/officeDocument/2006/relationships/hyperlink" Target="file:///C:/Users/KristofferLund/Documents/Straye%20Tak%202025%20Service%20avtale%20Haugerskolevei%2050.pdf" TargetMode="External"/><Relationship Id="rId57" Type="http://schemas.openxmlformats.org/officeDocument/2006/relationships/hyperlink" Target="mailto:hellerudparken@styrerommet.no" TargetMode="External"/><Relationship Id="rId10" Type="http://schemas.openxmlformats.org/officeDocument/2006/relationships/hyperlink" Target="mailto:maihe@online.no" TargetMode="External"/><Relationship Id="rId31" Type="http://schemas.openxmlformats.org/officeDocument/2006/relationships/hyperlink" Target="mailto:alan.gardi@malling.no" TargetMode="External"/><Relationship Id="rId44" Type="http://schemas.openxmlformats.org/officeDocument/2006/relationships/hyperlink" Target="file:///C:/Users/KristofferLund/Pictures/Skjermbilde%202025-06-10%20122742.png" TargetMode="External"/><Relationship Id="rId52" Type="http://schemas.openxmlformats.org/officeDocument/2006/relationships/hyperlink" Target="file:///C:/Users/KristofferLund/OneDrive%20-%20Straye%20AS/Dokumenter/Service%20avtaler/Kristoffer/Serviceavtale%20Straye%20Eierseksjossameiet.pdf" TargetMode="External"/><Relationship Id="rId60" Type="http://schemas.openxmlformats.org/officeDocument/2006/relationships/hyperlink" Target="file:///C:/Users/KristofferLund/OneDrive%20-%20Straye%20AS/Kristoffer/Service%20avtaler/Serviceavtale_Straye_Tak_AS_Grev_wedels_plass.pdf" TargetMode="External"/><Relationship Id="rId65" Type="http://schemas.openxmlformats.org/officeDocument/2006/relationships/hyperlink" Target="file:///C:/Users/KristofferLund/OneDrive%20-%20Straye%20AS/Kristoffer/Service%20avtaler/Servicekontrakt-Straye%20Tak%20Posten%20moss.pdf" TargetMode="External"/><Relationship Id="rId4" Type="http://schemas.openxmlformats.org/officeDocument/2006/relationships/hyperlink" Target="mailto:tor.inge.skoglund@ibis.no" TargetMode="External"/><Relationship Id="rId9" Type="http://schemas.openxmlformats.org/officeDocument/2006/relationships/hyperlink" Target="mailto:ole.herredsvela@strommenstorsenter.no" TargetMode="External"/><Relationship Id="rId13" Type="http://schemas.openxmlformats.org/officeDocument/2006/relationships/hyperlink" Target="mailto:henning@stene.as" TargetMode="External"/><Relationship Id="rId18" Type="http://schemas.openxmlformats.org/officeDocument/2006/relationships/hyperlink" Target="mailto:fredensborg1@styrerommet.no" TargetMode="External"/><Relationship Id="rId39" Type="http://schemas.openxmlformats.org/officeDocument/2006/relationships/hyperlink" Target="file:///C:/Users/KristofferLund/Documents/Service%20avtaler/Service%20avtale%20Tidemansgate%2028.pdf" TargetMode="External"/><Relationship Id="rId34" Type="http://schemas.openxmlformats.org/officeDocument/2006/relationships/hyperlink" Target="file:///C:/Users/KristofferLund/Documents/Service%20avtaler/Str&#248;mmen%20terrasse%20sameie.pdf" TargetMode="External"/><Relationship Id="rId50" Type="http://schemas.openxmlformats.org/officeDocument/2006/relationships/hyperlink" Target="mailto:svein@sveinmathiesen.no" TargetMode="External"/><Relationship Id="rId55" Type="http://schemas.openxmlformats.org/officeDocument/2006/relationships/hyperlink" Target="file:///C:/Users/KristofferLund/OneDrive%20-%20Straye%20AS/Kristoffer/Service%20avtaler/Manglerud%20bad%20og%20aktivitetshus%20-%20serviceavtale%20fallsikring%20-%20Straye%20tak%20AS%20-%20signert%2001.10.2025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E3AA-2228-4A18-81CF-26C6D91E8B8B}">
  <sheetPr>
    <tabColor rgb="FF00B0F0"/>
    <pageSetUpPr fitToPage="1"/>
  </sheetPr>
  <dimension ref="A1:AI488"/>
  <sheetViews>
    <sheetView tabSelected="1" zoomScale="90" zoomScaleNormal="90" workbookViewId="0">
      <pane ySplit="8" topLeftCell="A384" activePane="bottomLeft" state="frozen"/>
      <selection pane="bottomLeft" activeCell="D3" sqref="D3"/>
    </sheetView>
  </sheetViews>
  <sheetFormatPr baseColWidth="10" defaultColWidth="11.5" defaultRowHeight="14" outlineLevelCol="1"/>
  <cols>
    <col min="1" max="1" width="18" style="129" customWidth="1"/>
    <col min="2" max="2" width="9.5" style="129" customWidth="1"/>
    <col min="3" max="3" width="35.1640625" style="130" customWidth="1"/>
    <col min="4" max="4" width="45" style="130" customWidth="1"/>
    <col min="5" max="5" width="13.1640625" style="129" customWidth="1"/>
    <col min="6" max="6" width="26.1640625" style="129" customWidth="1"/>
    <col min="7" max="8" width="14.6640625" style="129" customWidth="1"/>
    <col min="9" max="9" width="10.5" style="129" customWidth="1"/>
    <col min="10" max="10" width="9.33203125" style="129" customWidth="1"/>
    <col min="11" max="15" width="14.6640625" style="129" hidden="1" customWidth="1" outlineLevel="1"/>
    <col min="16" max="16" width="14" style="129" customWidth="1" collapsed="1"/>
    <col min="17" max="17" width="21.1640625" style="131" bestFit="1" customWidth="1"/>
    <col min="18" max="20" width="20.6640625" style="131" customWidth="1"/>
    <col min="21" max="21" width="15.6640625" style="129" customWidth="1"/>
    <col min="22" max="22" width="14.1640625" style="129" customWidth="1"/>
    <col min="23" max="23" width="66.5" style="129" customWidth="1"/>
    <col min="24" max="24" width="14.5" style="129" customWidth="1"/>
    <col min="25" max="26" width="17.1640625" style="132" customWidth="1"/>
    <col min="27" max="27" width="17.1640625" style="129" customWidth="1"/>
    <col min="28" max="29" width="11.5" style="129"/>
    <col min="30" max="31" width="18.6640625" style="129" customWidth="1"/>
    <col min="32" max="16384" width="11.5" style="129"/>
  </cols>
  <sheetData>
    <row r="1" spans="1:35" ht="15" customHeight="1">
      <c r="A1" s="455" t="s">
        <v>0</v>
      </c>
      <c r="B1" s="185"/>
      <c r="C1" s="193"/>
      <c r="D1" s="276">
        <f ca="1">TODAY()</f>
        <v>46001</v>
      </c>
      <c r="E1" s="276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94"/>
      <c r="R1" s="194"/>
      <c r="S1" s="194"/>
      <c r="T1" s="194"/>
      <c r="U1" s="185"/>
      <c r="V1" s="185"/>
      <c r="W1" s="185"/>
      <c r="X1" s="185"/>
      <c r="Y1" s="195"/>
      <c r="Z1" s="195"/>
      <c r="AA1" s="185"/>
      <c r="AB1" s="185"/>
      <c r="AC1" s="185"/>
      <c r="AD1" s="185"/>
      <c r="AE1" s="185"/>
      <c r="AF1" s="185"/>
    </row>
    <row r="2" spans="1:35" ht="67.5" customHeight="1">
      <c r="A2" s="183"/>
      <c r="B2" s="185"/>
      <c r="C2" s="193"/>
      <c r="D2" s="193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94"/>
      <c r="R2" s="194"/>
      <c r="S2" s="194"/>
      <c r="T2" s="194"/>
      <c r="U2" s="185"/>
      <c r="V2" s="185"/>
      <c r="W2" s="185"/>
      <c r="X2" s="185"/>
      <c r="Y2" s="185"/>
      <c r="Z2" s="185"/>
      <c r="AA2" s="185"/>
      <c r="AB2" s="185"/>
      <c r="AC2" s="429" t="s">
        <v>1</v>
      </c>
      <c r="AD2" s="185"/>
      <c r="AE2" s="185"/>
      <c r="AF2" s="185"/>
    </row>
    <row r="3" spans="1:35" ht="22" customHeight="1">
      <c r="A3" s="183"/>
      <c r="B3" s="185"/>
      <c r="C3" s="193"/>
      <c r="D3" s="193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579" t="s">
        <v>2</v>
      </c>
      <c r="Q3" s="580">
        <f>COUNTIFS(P9:P454,"Tapt")</f>
        <v>56</v>
      </c>
      <c r="R3" s="579"/>
      <c r="S3" s="194"/>
      <c r="T3" s="579" t="s">
        <v>3</v>
      </c>
      <c r="U3" s="580">
        <f>COUNTIFS(P9:P454,"Ordre")</f>
        <v>31</v>
      </c>
      <c r="V3" s="594"/>
      <c r="W3" s="185"/>
      <c r="X3" s="185"/>
      <c r="Y3" s="195"/>
      <c r="Z3" s="195"/>
      <c r="AA3" s="185"/>
      <c r="AB3" s="185"/>
      <c r="AC3" s="504"/>
      <c r="AD3" s="505"/>
      <c r="AE3" s="406"/>
      <c r="AF3" s="185"/>
      <c r="AG3" s="411" t="s">
        <v>4</v>
      </c>
      <c r="AH3" s="412" t="e">
        <f>#REF!-#REF!</f>
        <v>#REF!</v>
      </c>
      <c r="AI3" s="413" t="e">
        <f>#REF!-#REF!</f>
        <v>#REF!</v>
      </c>
    </row>
    <row r="4" spans="1:35" ht="15" customHeight="1">
      <c r="A4" s="183"/>
      <c r="B4" s="185"/>
      <c r="C4" s="193"/>
      <c r="D4" s="193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579" t="s">
        <v>5</v>
      </c>
      <c r="Q4" s="581">
        <f>SUMIF(P9:P454,"Tilbud",G9:G454)</f>
        <v>732162</v>
      </c>
      <c r="R4" s="591" t="s">
        <v>6</v>
      </c>
      <c r="S4" s="194"/>
      <c r="T4" s="579" t="s">
        <v>7</v>
      </c>
      <c r="U4" s="580">
        <f>COUNTIFS(P9:P454,"Ferdig")</f>
        <v>61</v>
      </c>
      <c r="V4" s="579"/>
      <c r="W4" s="185"/>
      <c r="X4" s="185"/>
      <c r="Y4" s="195"/>
      <c r="Z4" s="195"/>
      <c r="AA4" s="185"/>
      <c r="AB4" s="185"/>
      <c r="AC4" s="402" t="s">
        <v>4</v>
      </c>
      <c r="AD4" s="399">
        <v>118245404</v>
      </c>
      <c r="AE4" s="403">
        <v>60273913</v>
      </c>
      <c r="AF4" s="185"/>
      <c r="AG4" s="411" t="s">
        <v>6</v>
      </c>
      <c r="AH4" s="412" t="e">
        <f>#REF!-#REF!</f>
        <v>#REF!</v>
      </c>
      <c r="AI4" s="413" t="e">
        <f t="shared" ref="AI4" si="0">#REF!-#REF!</f>
        <v>#REF!</v>
      </c>
    </row>
    <row r="5" spans="1:35" ht="22" customHeight="1">
      <c r="A5" s="183"/>
      <c r="B5" s="185"/>
      <c r="C5" s="193"/>
      <c r="D5" s="193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579" t="s">
        <v>5</v>
      </c>
      <c r="Q5" s="581">
        <f>SUMIF(P9:P454,"Tilbud",Q9:Q454)</f>
        <v>573254809</v>
      </c>
      <c r="R5" s="592" t="s">
        <v>8</v>
      </c>
      <c r="S5" s="194"/>
      <c r="T5" s="581" t="s">
        <v>3</v>
      </c>
      <c r="U5" s="581">
        <f>SUMIF(P9:P454,"Ordre",G9:G454)</f>
        <v>86505</v>
      </c>
      <c r="V5" s="591" t="s">
        <v>6</v>
      </c>
      <c r="W5" s="185"/>
      <c r="X5" s="582"/>
      <c r="Y5" s="583"/>
      <c r="Z5" s="583"/>
      <c r="AA5" s="582"/>
      <c r="AB5" s="185"/>
      <c r="AC5" s="402" t="s">
        <v>6</v>
      </c>
      <c r="AD5" s="399">
        <v>182925</v>
      </c>
      <c r="AE5" s="403">
        <v>93312</v>
      </c>
      <c r="AF5" s="185"/>
      <c r="AG5" s="414" t="s">
        <v>9</v>
      </c>
      <c r="AH5" s="415" t="e">
        <f>#REF!-#REF!</f>
        <v>#REF!</v>
      </c>
      <c r="AI5" s="416" t="e">
        <f t="shared" ref="AI5" si="1">#REF!-#REF!</f>
        <v>#REF!</v>
      </c>
    </row>
    <row r="6" spans="1:35" ht="22" customHeight="1">
      <c r="A6" s="183"/>
      <c r="B6" s="185"/>
      <c r="C6" s="193"/>
      <c r="D6" s="193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579" t="s">
        <v>5</v>
      </c>
      <c r="Q6" s="580">
        <f>COUNTIFS(P9:P454,"Tilbud")</f>
        <v>259</v>
      </c>
      <c r="R6" s="593" t="s">
        <v>10</v>
      </c>
      <c r="S6" s="194"/>
      <c r="T6" s="581" t="s">
        <v>7</v>
      </c>
      <c r="U6" s="581">
        <f>SUMIF(P9:P454,"Ferdig",G9:G454)</f>
        <v>284555</v>
      </c>
      <c r="V6" s="591" t="s">
        <v>6</v>
      </c>
      <c r="W6" s="185"/>
      <c r="X6" s="584" t="s">
        <v>6</v>
      </c>
      <c r="Y6" s="585">
        <f ca="1">SUMIF(Y9:Y419,"x",G9:G387)</f>
        <v>358635</v>
      </c>
      <c r="Z6" s="586">
        <f ca="1">SUMIF(Z9:Z419,"x",G9:G387)</f>
        <v>284303</v>
      </c>
      <c r="AA6" s="587">
        <f ca="1">SUMIF(AA9:AA419,"x",G9:G387)</f>
        <v>271599</v>
      </c>
      <c r="AB6" s="185"/>
      <c r="AC6" s="404" t="s">
        <v>9</v>
      </c>
      <c r="AD6" s="400">
        <v>34</v>
      </c>
      <c r="AE6" s="405">
        <v>16</v>
      </c>
      <c r="AF6" s="185"/>
      <c r="AG6" s="414" t="s">
        <v>11</v>
      </c>
      <c r="AH6" s="412" t="e">
        <f>#REF!-#REF!</f>
        <v>#REF!</v>
      </c>
      <c r="AI6" s="417"/>
    </row>
    <row r="7" spans="1:35" ht="57.5" customHeight="1" thickBot="1">
      <c r="A7" s="183"/>
      <c r="B7" s="185"/>
      <c r="C7" s="193"/>
      <c r="D7" s="193"/>
      <c r="E7" s="185"/>
      <c r="F7" s="602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94"/>
      <c r="R7" s="194"/>
      <c r="S7" s="194"/>
      <c r="T7" s="194"/>
      <c r="U7" s="185"/>
      <c r="V7" s="185"/>
      <c r="W7" s="185"/>
      <c r="X7" s="185"/>
      <c r="Y7" s="195"/>
      <c r="Z7" s="195"/>
      <c r="AA7" s="185"/>
      <c r="AB7" s="185"/>
      <c r="AC7" s="402" t="s">
        <v>12</v>
      </c>
      <c r="AD7" s="401">
        <v>0.2982456140350877</v>
      </c>
      <c r="AE7" s="407">
        <v>0.14035087719298245</v>
      </c>
      <c r="AF7" s="185"/>
      <c r="AG7" s="418" t="s">
        <v>13</v>
      </c>
      <c r="AH7" s="419"/>
      <c r="AI7" s="420"/>
    </row>
    <row r="8" spans="1:35" s="103" customFormat="1" ht="33.5" customHeight="1" thickBot="1">
      <c r="A8" s="277" t="s">
        <v>14</v>
      </c>
      <c r="B8" s="278" t="s">
        <v>15</v>
      </c>
      <c r="C8" s="278" t="s">
        <v>16</v>
      </c>
      <c r="D8" s="278" t="s">
        <v>17</v>
      </c>
      <c r="E8" s="278" t="s">
        <v>18</v>
      </c>
      <c r="F8" s="278" t="s">
        <v>19</v>
      </c>
      <c r="G8" s="279" t="s">
        <v>6</v>
      </c>
      <c r="H8" s="279" t="s">
        <v>20</v>
      </c>
      <c r="I8" s="279" t="s">
        <v>21</v>
      </c>
      <c r="J8" s="279" t="s">
        <v>22</v>
      </c>
      <c r="K8" s="280" t="s">
        <v>23</v>
      </c>
      <c r="L8" s="279" t="s">
        <v>24</v>
      </c>
      <c r="M8" s="279" t="s">
        <v>25</v>
      </c>
      <c r="N8" s="279" t="s">
        <v>26</v>
      </c>
      <c r="O8" s="279" t="s">
        <v>27</v>
      </c>
      <c r="P8" s="278" t="s">
        <v>28</v>
      </c>
      <c r="Q8" s="281" t="s">
        <v>29</v>
      </c>
      <c r="R8" s="282" t="s">
        <v>30</v>
      </c>
      <c r="S8" s="282" t="s">
        <v>31</v>
      </c>
      <c r="T8" s="282" t="s">
        <v>32</v>
      </c>
      <c r="U8" s="279" t="s">
        <v>33</v>
      </c>
      <c r="V8" s="282" t="s">
        <v>34</v>
      </c>
      <c r="W8" s="278" t="s">
        <v>35</v>
      </c>
      <c r="X8" s="479" t="s">
        <v>36</v>
      </c>
      <c r="Y8" s="480" t="s">
        <v>37</v>
      </c>
      <c r="Z8" s="480" t="s">
        <v>7</v>
      </c>
      <c r="AA8" s="480" t="s">
        <v>2</v>
      </c>
      <c r="AB8" s="185"/>
      <c r="AC8" s="408" t="s">
        <v>13</v>
      </c>
      <c r="AD8" s="409">
        <v>0.30149979143052835</v>
      </c>
      <c r="AE8" s="410">
        <v>0.15368523074437473</v>
      </c>
      <c r="AF8" s="185"/>
    </row>
    <row r="9" spans="1:35" s="115" customFormat="1" ht="16" customHeight="1">
      <c r="A9" s="106">
        <v>45077</v>
      </c>
      <c r="B9" s="589" t="s">
        <v>38</v>
      </c>
      <c r="C9" s="353" t="s">
        <v>39</v>
      </c>
      <c r="D9" s="439" t="s">
        <v>40</v>
      </c>
      <c r="E9" s="109"/>
      <c r="F9" s="109" t="s">
        <v>41</v>
      </c>
      <c r="G9" s="133">
        <v>3200</v>
      </c>
      <c r="H9" s="133">
        <v>792</v>
      </c>
      <c r="I9" s="110" t="s">
        <v>42</v>
      </c>
      <c r="J9" s="133"/>
      <c r="K9" s="133"/>
      <c r="L9" s="133"/>
      <c r="M9" s="133"/>
      <c r="N9" s="133"/>
      <c r="O9" s="391"/>
      <c r="P9" s="109" t="s">
        <v>43</v>
      </c>
      <c r="Q9" s="139">
        <v>2303570</v>
      </c>
      <c r="R9" s="392">
        <v>0.35</v>
      </c>
      <c r="S9" s="389">
        <f t="shared" ref="S9:S35" si="2">Q9*R9</f>
        <v>806249.5</v>
      </c>
      <c r="T9" s="387">
        <f t="shared" ref="T9:T35" si="3">Q9/G9</f>
        <v>719.86562500000002</v>
      </c>
      <c r="U9" s="141">
        <f t="shared" ref="U9:U35" si="4">IF(A9="","",(A9+60))</f>
        <v>45137</v>
      </c>
      <c r="V9" s="513"/>
      <c r="W9" s="143"/>
      <c r="X9" s="482"/>
      <c r="Y9" s="135" t="str">
        <f t="shared" ref="Y9:Y35" si="5">IF(OR(P9="Ordre",P9="Ferdig"),"x","")</f>
        <v/>
      </c>
      <c r="Z9" s="426" t="str">
        <f t="shared" ref="Z9:Z35" si="6">IF(P9="Ferdig","x","")</f>
        <v/>
      </c>
      <c r="AA9" s="136" t="str">
        <f t="shared" ref="AA9:AA35" si="7">IF(P9="Tapt","x","")</f>
        <v/>
      </c>
      <c r="AB9" s="185"/>
      <c r="AC9" s="185"/>
      <c r="AD9" s="185"/>
      <c r="AE9" s="185"/>
      <c r="AF9" s="185"/>
    </row>
    <row r="10" spans="1:35" s="115" customFormat="1" ht="16" customHeight="1">
      <c r="A10" s="106">
        <v>44876</v>
      </c>
      <c r="B10" s="109" t="s">
        <v>38</v>
      </c>
      <c r="C10" s="107" t="s">
        <v>44</v>
      </c>
      <c r="D10" s="108" t="s">
        <v>45</v>
      </c>
      <c r="E10" s="137"/>
      <c r="F10" s="109" t="s">
        <v>46</v>
      </c>
      <c r="G10" s="109">
        <v>1621</v>
      </c>
      <c r="H10" s="109"/>
      <c r="I10" s="110" t="s">
        <v>47</v>
      </c>
      <c r="J10" s="109"/>
      <c r="K10" s="133" t="str">
        <f t="shared" ref="K10:K17" si="8">IF(L10="","",(ROUNDUP(L10+M10,-1)))</f>
        <v/>
      </c>
      <c r="L10" s="109"/>
      <c r="M10" s="109"/>
      <c r="N10" s="109"/>
      <c r="O10" s="391"/>
      <c r="P10" s="138" t="s">
        <v>7</v>
      </c>
      <c r="Q10" s="139">
        <v>1215000</v>
      </c>
      <c r="R10" s="556">
        <v>0.16</v>
      </c>
      <c r="S10" s="389">
        <f t="shared" si="2"/>
        <v>194400</v>
      </c>
      <c r="T10" s="387">
        <f t="shared" si="3"/>
        <v>749.53732264034545</v>
      </c>
      <c r="U10" s="141">
        <f t="shared" si="4"/>
        <v>44936</v>
      </c>
      <c r="V10" s="142">
        <v>44845</v>
      </c>
      <c r="W10" s="143" t="s">
        <v>48</v>
      </c>
      <c r="X10" s="482"/>
      <c r="Y10" s="135" t="str">
        <f t="shared" si="5"/>
        <v>x</v>
      </c>
      <c r="Z10" s="426" t="str">
        <f t="shared" si="6"/>
        <v>x</v>
      </c>
      <c r="AA10" s="136" t="str">
        <f t="shared" si="7"/>
        <v/>
      </c>
      <c r="AB10" s="185"/>
      <c r="AC10" s="185"/>
      <c r="AD10" s="185"/>
      <c r="AE10" s="185"/>
      <c r="AF10" s="185"/>
    </row>
    <row r="11" spans="1:35" s="115" customFormat="1" ht="16" customHeight="1">
      <c r="A11" s="273">
        <v>44876</v>
      </c>
      <c r="B11" s="109" t="s">
        <v>38</v>
      </c>
      <c r="C11" s="137" t="s">
        <v>44</v>
      </c>
      <c r="D11" s="108" t="s">
        <v>49</v>
      </c>
      <c r="E11" s="137"/>
      <c r="F11" s="109" t="s">
        <v>50</v>
      </c>
      <c r="G11" s="109">
        <v>1553</v>
      </c>
      <c r="H11" s="109"/>
      <c r="I11" s="133" t="s">
        <v>47</v>
      </c>
      <c r="J11" s="109"/>
      <c r="K11" s="133" t="str">
        <f t="shared" si="8"/>
        <v/>
      </c>
      <c r="L11" s="109"/>
      <c r="M11" s="109"/>
      <c r="N11" s="109"/>
      <c r="O11" s="391"/>
      <c r="P11" s="138" t="s">
        <v>7</v>
      </c>
      <c r="Q11" s="139">
        <v>1185100</v>
      </c>
      <c r="R11" s="392">
        <v>0.22040000000000001</v>
      </c>
      <c r="S11" s="389">
        <f t="shared" si="2"/>
        <v>261196.04</v>
      </c>
      <c r="T11" s="387">
        <f t="shared" si="3"/>
        <v>763.10367031551834</v>
      </c>
      <c r="U11" s="141">
        <f t="shared" si="4"/>
        <v>44936</v>
      </c>
      <c r="V11" s="142">
        <v>44845</v>
      </c>
      <c r="W11" s="313" t="s">
        <v>51</v>
      </c>
      <c r="X11" s="481"/>
      <c r="Y11" s="135" t="str">
        <f t="shared" si="5"/>
        <v>x</v>
      </c>
      <c r="Z11" s="426" t="str">
        <f t="shared" si="6"/>
        <v>x</v>
      </c>
      <c r="AA11" s="136" t="str">
        <f t="shared" si="7"/>
        <v/>
      </c>
      <c r="AB11" s="185"/>
      <c r="AC11" s="185"/>
      <c r="AD11" s="185"/>
      <c r="AE11" s="185"/>
      <c r="AF11" s="185"/>
    </row>
    <row r="12" spans="1:35" s="115" customFormat="1" ht="16" customHeight="1">
      <c r="A12" s="273">
        <v>44876</v>
      </c>
      <c r="B12" s="109" t="s">
        <v>38</v>
      </c>
      <c r="C12" s="137" t="s">
        <v>44</v>
      </c>
      <c r="D12" s="108" t="s">
        <v>52</v>
      </c>
      <c r="E12" s="137"/>
      <c r="F12" s="109" t="s">
        <v>50</v>
      </c>
      <c r="G12" s="109">
        <v>2400</v>
      </c>
      <c r="H12" s="109"/>
      <c r="I12" s="133" t="s">
        <v>47</v>
      </c>
      <c r="J12" s="109"/>
      <c r="K12" s="133" t="str">
        <f t="shared" si="8"/>
        <v/>
      </c>
      <c r="L12" s="109"/>
      <c r="M12" s="109"/>
      <c r="N12" s="109"/>
      <c r="O12" s="391"/>
      <c r="P12" s="138" t="s">
        <v>7</v>
      </c>
      <c r="Q12" s="139">
        <v>1738750</v>
      </c>
      <c r="R12" s="392">
        <v>0.23480000000000001</v>
      </c>
      <c r="S12" s="389">
        <f t="shared" si="2"/>
        <v>408258.5</v>
      </c>
      <c r="T12" s="387">
        <f t="shared" si="3"/>
        <v>724.47916666666663</v>
      </c>
      <c r="U12" s="141">
        <f t="shared" si="4"/>
        <v>44936</v>
      </c>
      <c r="V12" s="142">
        <v>44845</v>
      </c>
      <c r="W12" s="313" t="s">
        <v>53</v>
      </c>
      <c r="X12" s="481"/>
      <c r="Y12" s="135" t="str">
        <f t="shared" si="5"/>
        <v>x</v>
      </c>
      <c r="Z12" s="426" t="str">
        <f t="shared" si="6"/>
        <v>x</v>
      </c>
      <c r="AA12" s="136" t="str">
        <f t="shared" si="7"/>
        <v/>
      </c>
      <c r="AB12" s="185"/>
      <c r="AC12" s="185"/>
      <c r="AD12" s="185"/>
      <c r="AE12" s="185"/>
      <c r="AF12" s="185"/>
    </row>
    <row r="13" spans="1:35" s="115" customFormat="1" ht="16" customHeight="1">
      <c r="A13" s="106">
        <v>45604</v>
      </c>
      <c r="B13" s="109" t="s">
        <v>38</v>
      </c>
      <c r="C13" s="107" t="s">
        <v>54</v>
      </c>
      <c r="D13" s="137" t="s">
        <v>55</v>
      </c>
      <c r="E13" s="137"/>
      <c r="F13" s="109" t="s">
        <v>56</v>
      </c>
      <c r="G13" s="133">
        <v>1228</v>
      </c>
      <c r="H13" s="133"/>
      <c r="I13" s="110"/>
      <c r="J13" s="133"/>
      <c r="K13" s="133" t="str">
        <f t="shared" si="8"/>
        <v/>
      </c>
      <c r="L13" s="133"/>
      <c r="M13" s="133"/>
      <c r="N13" s="133"/>
      <c r="O13" s="391"/>
      <c r="P13" s="109" t="s">
        <v>2</v>
      </c>
      <c r="Q13" s="139">
        <v>1095000</v>
      </c>
      <c r="R13" s="392">
        <v>0.16400000000000001</v>
      </c>
      <c r="S13" s="389">
        <f t="shared" si="2"/>
        <v>179580</v>
      </c>
      <c r="T13" s="387">
        <f t="shared" si="3"/>
        <v>891.69381107491859</v>
      </c>
      <c r="U13" s="141">
        <f t="shared" si="4"/>
        <v>45664</v>
      </c>
      <c r="V13" s="321">
        <v>44966</v>
      </c>
      <c r="W13" s="143" t="s">
        <v>57</v>
      </c>
      <c r="X13" s="482"/>
      <c r="Y13" s="135" t="str">
        <f t="shared" si="5"/>
        <v/>
      </c>
      <c r="Z13" s="426" t="str">
        <f t="shared" si="6"/>
        <v/>
      </c>
      <c r="AA13" s="136" t="str">
        <f t="shared" si="7"/>
        <v>x</v>
      </c>
      <c r="AB13" s="185"/>
      <c r="AC13" s="185"/>
      <c r="AD13" s="185"/>
      <c r="AE13" s="185"/>
      <c r="AF13" s="185"/>
    </row>
    <row r="14" spans="1:35" s="115" customFormat="1" ht="16" customHeight="1">
      <c r="A14" s="106">
        <v>44881</v>
      </c>
      <c r="B14" s="109" t="s">
        <v>38</v>
      </c>
      <c r="C14" s="107" t="s">
        <v>687</v>
      </c>
      <c r="D14" s="137" t="s">
        <v>58</v>
      </c>
      <c r="E14" s="137"/>
      <c r="F14" s="109" t="s">
        <v>56</v>
      </c>
      <c r="G14" s="133">
        <v>1514</v>
      </c>
      <c r="H14" s="133"/>
      <c r="I14" s="110"/>
      <c r="J14" s="133"/>
      <c r="K14" s="133" t="str">
        <f t="shared" si="8"/>
        <v/>
      </c>
      <c r="L14" s="133"/>
      <c r="M14" s="133"/>
      <c r="N14" s="133"/>
      <c r="O14" s="391"/>
      <c r="P14" s="109" t="s">
        <v>2</v>
      </c>
      <c r="Q14" s="139">
        <v>1347290</v>
      </c>
      <c r="R14" s="392">
        <v>0.161</v>
      </c>
      <c r="S14" s="389">
        <f t="shared" si="2"/>
        <v>216913.69</v>
      </c>
      <c r="T14" s="387">
        <f t="shared" si="3"/>
        <v>889.88771466314404</v>
      </c>
      <c r="U14" s="141">
        <f t="shared" si="4"/>
        <v>44941</v>
      </c>
      <c r="V14" s="328">
        <v>44966</v>
      </c>
      <c r="W14" s="143" t="s">
        <v>57</v>
      </c>
      <c r="X14" s="482"/>
      <c r="Y14" s="135" t="str">
        <f t="shared" si="5"/>
        <v/>
      </c>
      <c r="Z14" s="426" t="str">
        <f t="shared" si="6"/>
        <v/>
      </c>
      <c r="AA14" s="136" t="str">
        <f t="shared" si="7"/>
        <v>x</v>
      </c>
      <c r="AB14" s="185"/>
      <c r="AC14" s="185"/>
      <c r="AD14" s="185"/>
      <c r="AE14" s="185"/>
      <c r="AF14" s="185"/>
    </row>
    <row r="15" spans="1:35" s="115" customFormat="1" ht="16" customHeight="1">
      <c r="A15" s="106">
        <v>44882</v>
      </c>
      <c r="B15" s="109" t="s">
        <v>38</v>
      </c>
      <c r="C15" s="107" t="s">
        <v>59</v>
      </c>
      <c r="D15" s="137" t="s">
        <v>60</v>
      </c>
      <c r="E15" s="137"/>
      <c r="F15" s="109" t="s">
        <v>61</v>
      </c>
      <c r="G15" s="109">
        <v>5400</v>
      </c>
      <c r="H15" s="109"/>
      <c r="I15" s="110" t="s">
        <v>62</v>
      </c>
      <c r="J15" s="110"/>
      <c r="K15" s="133" t="str">
        <f t="shared" si="8"/>
        <v/>
      </c>
      <c r="L15" s="109"/>
      <c r="M15" s="109"/>
      <c r="N15" s="109"/>
      <c r="O15" s="391"/>
      <c r="P15" s="138" t="s">
        <v>7</v>
      </c>
      <c r="Q15" s="139">
        <v>3420000</v>
      </c>
      <c r="R15" s="392">
        <v>0.16039999999999999</v>
      </c>
      <c r="S15" s="389">
        <f t="shared" si="2"/>
        <v>548568</v>
      </c>
      <c r="T15" s="387">
        <f t="shared" si="3"/>
        <v>633.33333333333337</v>
      </c>
      <c r="U15" s="141">
        <f t="shared" si="4"/>
        <v>44942</v>
      </c>
      <c r="V15" s="321"/>
      <c r="W15" s="143" t="s">
        <v>63</v>
      </c>
      <c r="X15" s="482"/>
      <c r="Y15" s="135" t="str">
        <f t="shared" si="5"/>
        <v>x</v>
      </c>
      <c r="Z15" s="426" t="str">
        <f t="shared" si="6"/>
        <v>x</v>
      </c>
      <c r="AA15" s="136" t="str">
        <f t="shared" si="7"/>
        <v/>
      </c>
      <c r="AB15" s="185"/>
      <c r="AC15" s="185"/>
      <c r="AD15" s="185"/>
      <c r="AE15" s="185"/>
      <c r="AF15" s="185"/>
    </row>
    <row r="16" spans="1:35" s="115" customFormat="1" ht="16" customHeight="1">
      <c r="A16" s="106">
        <v>44889</v>
      </c>
      <c r="B16" s="109" t="s">
        <v>38</v>
      </c>
      <c r="C16" s="137" t="s">
        <v>44</v>
      </c>
      <c r="D16" s="137" t="s">
        <v>64</v>
      </c>
      <c r="E16" s="137"/>
      <c r="F16" s="109" t="s">
        <v>65</v>
      </c>
      <c r="G16" s="133">
        <v>870</v>
      </c>
      <c r="H16" s="133"/>
      <c r="I16" s="110"/>
      <c r="J16" s="133"/>
      <c r="K16" s="133" t="str">
        <f t="shared" si="8"/>
        <v/>
      </c>
      <c r="L16" s="133"/>
      <c r="M16" s="133"/>
      <c r="N16" s="133"/>
      <c r="O16" s="391"/>
      <c r="P16" s="109" t="s">
        <v>2</v>
      </c>
      <c r="Q16" s="139">
        <f>1089000-35000</f>
        <v>1054000</v>
      </c>
      <c r="R16" s="392">
        <v>0.17199999999999999</v>
      </c>
      <c r="S16" s="389">
        <f t="shared" si="2"/>
        <v>181288</v>
      </c>
      <c r="T16" s="387">
        <f t="shared" si="3"/>
        <v>1211.4942528735633</v>
      </c>
      <c r="U16" s="141">
        <f t="shared" si="4"/>
        <v>44949</v>
      </c>
      <c r="V16" s="142">
        <v>44995</v>
      </c>
      <c r="W16" s="143" t="s">
        <v>66</v>
      </c>
      <c r="X16" s="482"/>
      <c r="Y16" s="135" t="str">
        <f t="shared" si="5"/>
        <v/>
      </c>
      <c r="Z16" s="426" t="str">
        <f t="shared" si="6"/>
        <v/>
      </c>
      <c r="AA16" s="136" t="str">
        <f t="shared" si="7"/>
        <v>x</v>
      </c>
      <c r="AB16" s="185"/>
      <c r="AC16" s="185"/>
      <c r="AD16" s="185"/>
      <c r="AE16" s="185"/>
      <c r="AF16" s="185"/>
    </row>
    <row r="17" spans="1:32" s="115" customFormat="1" ht="16" customHeight="1">
      <c r="A17" s="314">
        <v>44971</v>
      </c>
      <c r="B17" s="109" t="s">
        <v>38</v>
      </c>
      <c r="C17" s="315" t="s">
        <v>67</v>
      </c>
      <c r="D17" s="359" t="s">
        <v>68</v>
      </c>
      <c r="E17" s="359"/>
      <c r="F17" s="316" t="s">
        <v>50</v>
      </c>
      <c r="G17" s="303">
        <v>17685</v>
      </c>
      <c r="H17" s="303"/>
      <c r="I17" s="110" t="s">
        <v>69</v>
      </c>
      <c r="J17" s="133"/>
      <c r="K17" s="133" t="str">
        <f t="shared" si="8"/>
        <v/>
      </c>
      <c r="L17" s="133"/>
      <c r="M17" s="133"/>
      <c r="N17" s="133"/>
      <c r="O17" s="391"/>
      <c r="P17" s="109" t="s">
        <v>2</v>
      </c>
      <c r="Q17" s="139">
        <v>11067940</v>
      </c>
      <c r="R17" s="392">
        <v>0.1608</v>
      </c>
      <c r="S17" s="389">
        <f t="shared" si="2"/>
        <v>1779724.7520000001</v>
      </c>
      <c r="T17" s="387">
        <f t="shared" si="3"/>
        <v>625.83771557817363</v>
      </c>
      <c r="U17" s="141">
        <f t="shared" si="4"/>
        <v>45031</v>
      </c>
      <c r="V17" s="142">
        <v>44973</v>
      </c>
      <c r="W17" s="143" t="s">
        <v>70</v>
      </c>
      <c r="X17" s="481">
        <v>1</v>
      </c>
      <c r="Y17" s="135" t="str">
        <f t="shared" si="5"/>
        <v/>
      </c>
      <c r="Z17" s="426" t="str">
        <f t="shared" si="6"/>
        <v/>
      </c>
      <c r="AA17" s="136" t="str">
        <f t="shared" si="7"/>
        <v>x</v>
      </c>
      <c r="AB17" s="185"/>
      <c r="AC17" s="185"/>
      <c r="AD17" s="185"/>
      <c r="AE17" s="185"/>
      <c r="AF17" s="185"/>
    </row>
    <row r="18" spans="1:32" s="115" customFormat="1" ht="16" customHeight="1">
      <c r="A18" s="106">
        <v>45196</v>
      </c>
      <c r="B18" s="109" t="s">
        <v>38</v>
      </c>
      <c r="C18" s="107" t="s">
        <v>54</v>
      </c>
      <c r="D18" s="137" t="s">
        <v>71</v>
      </c>
      <c r="E18" s="137"/>
      <c r="F18" s="109" t="s">
        <v>72</v>
      </c>
      <c r="G18" s="133">
        <v>2900</v>
      </c>
      <c r="H18" s="133"/>
      <c r="I18" s="110" t="s">
        <v>73</v>
      </c>
      <c r="J18" s="133"/>
      <c r="K18" s="133"/>
      <c r="L18" s="133"/>
      <c r="M18" s="133"/>
      <c r="N18" s="133"/>
      <c r="O18" s="391"/>
      <c r="P18" s="109" t="s">
        <v>7</v>
      </c>
      <c r="Q18" s="139">
        <v>2300000</v>
      </c>
      <c r="R18" s="392">
        <v>0.17</v>
      </c>
      <c r="S18" s="389">
        <f t="shared" si="2"/>
        <v>391000</v>
      </c>
      <c r="T18" s="387">
        <f t="shared" si="3"/>
        <v>793.10344827586209</v>
      </c>
      <c r="U18" s="141">
        <f t="shared" si="4"/>
        <v>45256</v>
      </c>
      <c r="V18" s="142"/>
      <c r="W18" s="143" t="s">
        <v>74</v>
      </c>
      <c r="X18" s="482"/>
      <c r="Y18" s="135" t="str">
        <f t="shared" si="5"/>
        <v>x</v>
      </c>
      <c r="Z18" s="426" t="str">
        <f t="shared" si="6"/>
        <v>x</v>
      </c>
      <c r="AA18" s="136" t="str">
        <f t="shared" si="7"/>
        <v/>
      </c>
      <c r="AB18" s="185"/>
      <c r="AC18" s="185"/>
      <c r="AD18" s="185"/>
      <c r="AE18" s="185"/>
      <c r="AF18" s="185"/>
    </row>
    <row r="19" spans="1:32" s="115" customFormat="1" ht="16" customHeight="1">
      <c r="A19" s="106">
        <v>44893</v>
      </c>
      <c r="B19" s="109" t="s">
        <v>38</v>
      </c>
      <c r="C19" s="107" t="s">
        <v>75</v>
      </c>
      <c r="D19" s="137" t="s">
        <v>76</v>
      </c>
      <c r="E19" s="138"/>
      <c r="F19" s="109" t="s">
        <v>77</v>
      </c>
      <c r="G19" s="133">
        <v>6983</v>
      </c>
      <c r="H19" s="133"/>
      <c r="I19" s="110" t="s">
        <v>78</v>
      </c>
      <c r="J19" s="133" t="s">
        <v>79</v>
      </c>
      <c r="K19" s="133">
        <f>IF(L19="","",(ROUNDUP(L19+M19,-1)))</f>
        <v>1855130</v>
      </c>
      <c r="L19" s="133">
        <v>1686475</v>
      </c>
      <c r="M19" s="133">
        <f>L19*O19</f>
        <v>168647.5</v>
      </c>
      <c r="N19" s="133">
        <f>L19/3500</f>
        <v>481.85</v>
      </c>
      <c r="O19" s="391">
        <v>0.1</v>
      </c>
      <c r="P19" s="109" t="s">
        <v>80</v>
      </c>
      <c r="Q19" s="139">
        <v>4399000</v>
      </c>
      <c r="R19" s="392">
        <v>0.20780000000000001</v>
      </c>
      <c r="S19" s="389">
        <f t="shared" si="2"/>
        <v>914112.20000000007</v>
      </c>
      <c r="T19" s="387">
        <f t="shared" si="3"/>
        <v>629.95847057138769</v>
      </c>
      <c r="U19" s="141">
        <f t="shared" si="4"/>
        <v>44953</v>
      </c>
      <c r="V19" s="142">
        <v>45385</v>
      </c>
      <c r="W19" s="143" t="s">
        <v>81</v>
      </c>
      <c r="X19" s="482"/>
      <c r="Y19" s="135" t="str">
        <f t="shared" si="5"/>
        <v/>
      </c>
      <c r="Z19" s="426" t="str">
        <f t="shared" si="6"/>
        <v/>
      </c>
      <c r="AA19" s="136" t="str">
        <f t="shared" si="7"/>
        <v/>
      </c>
      <c r="AB19" s="185"/>
      <c r="AC19" s="185"/>
      <c r="AD19" s="185"/>
      <c r="AE19" s="185"/>
      <c r="AF19" s="185"/>
    </row>
    <row r="20" spans="1:32" s="115" customFormat="1" ht="16" customHeight="1">
      <c r="A20" s="106">
        <v>44894</v>
      </c>
      <c r="B20" s="109" t="s">
        <v>38</v>
      </c>
      <c r="C20" s="107" t="s">
        <v>54</v>
      </c>
      <c r="D20" s="137" t="s">
        <v>82</v>
      </c>
      <c r="E20" s="137"/>
      <c r="F20" s="109" t="s">
        <v>83</v>
      </c>
      <c r="G20" s="133">
        <v>2400</v>
      </c>
      <c r="H20" s="133"/>
      <c r="I20" s="110"/>
      <c r="J20" s="133"/>
      <c r="K20" s="133"/>
      <c r="L20" s="133"/>
      <c r="M20" s="133"/>
      <c r="N20" s="133"/>
      <c r="O20" s="391"/>
      <c r="P20" s="109" t="s">
        <v>2</v>
      </c>
      <c r="Q20" s="139">
        <v>1585600</v>
      </c>
      <c r="R20" s="392">
        <v>0.19719999999999999</v>
      </c>
      <c r="S20" s="389">
        <f t="shared" si="2"/>
        <v>312680.32000000001</v>
      </c>
      <c r="T20" s="387">
        <f t="shared" si="3"/>
        <v>660.66666666666663</v>
      </c>
      <c r="U20" s="141">
        <f t="shared" si="4"/>
        <v>44954</v>
      </c>
      <c r="V20" s="142">
        <v>45385</v>
      </c>
      <c r="W20" s="143" t="s">
        <v>84</v>
      </c>
      <c r="X20" s="482"/>
      <c r="Y20" s="135" t="str">
        <f t="shared" si="5"/>
        <v/>
      </c>
      <c r="Z20" s="426" t="str">
        <f t="shared" si="6"/>
        <v/>
      </c>
      <c r="AA20" s="136" t="str">
        <f t="shared" si="7"/>
        <v>x</v>
      </c>
      <c r="AB20" s="185"/>
      <c r="AC20" s="185"/>
      <c r="AD20" s="185"/>
      <c r="AE20" s="185"/>
      <c r="AF20" s="185"/>
    </row>
    <row r="21" spans="1:32" s="115" customFormat="1" ht="16" customHeight="1">
      <c r="A21" s="106">
        <v>44895</v>
      </c>
      <c r="B21" s="109" t="s">
        <v>38</v>
      </c>
      <c r="C21" s="107" t="s">
        <v>85</v>
      </c>
      <c r="D21" s="137" t="s">
        <v>86</v>
      </c>
      <c r="E21" s="138"/>
      <c r="F21" s="109" t="s">
        <v>77</v>
      </c>
      <c r="G21" s="133">
        <v>30604</v>
      </c>
      <c r="H21" s="133"/>
      <c r="I21" s="110" t="s">
        <v>78</v>
      </c>
      <c r="J21" s="133"/>
      <c r="K21" s="133"/>
      <c r="L21" s="133"/>
      <c r="M21" s="133"/>
      <c r="N21" s="133"/>
      <c r="O21" s="391"/>
      <c r="P21" s="109" t="s">
        <v>43</v>
      </c>
      <c r="Q21" s="139">
        <v>16445000</v>
      </c>
      <c r="R21" s="392">
        <v>0.1764</v>
      </c>
      <c r="S21" s="393">
        <f t="shared" si="2"/>
        <v>2900898</v>
      </c>
      <c r="T21" s="387">
        <f t="shared" si="3"/>
        <v>537.34805907724478</v>
      </c>
      <c r="U21" s="141">
        <f t="shared" si="4"/>
        <v>44955</v>
      </c>
      <c r="V21" s="142">
        <v>45385</v>
      </c>
      <c r="W21" s="143" t="s">
        <v>87</v>
      </c>
      <c r="X21" s="482">
        <v>5</v>
      </c>
      <c r="Y21" s="135" t="str">
        <f t="shared" si="5"/>
        <v/>
      </c>
      <c r="Z21" s="426" t="str">
        <f t="shared" si="6"/>
        <v/>
      </c>
      <c r="AA21" s="136" t="str">
        <f t="shared" si="7"/>
        <v/>
      </c>
      <c r="AB21" s="185"/>
      <c r="AC21" s="185"/>
      <c r="AD21" s="185"/>
      <c r="AE21" s="185"/>
      <c r="AF21" s="185"/>
    </row>
    <row r="22" spans="1:32" s="115" customFormat="1" ht="16" customHeight="1">
      <c r="A22" s="106">
        <v>44966</v>
      </c>
      <c r="B22" s="109" t="s">
        <v>38</v>
      </c>
      <c r="C22" s="107" t="s">
        <v>54</v>
      </c>
      <c r="D22" s="137" t="s">
        <v>88</v>
      </c>
      <c r="E22" s="137"/>
      <c r="F22" s="109" t="s">
        <v>89</v>
      </c>
      <c r="G22" s="133">
        <v>1187</v>
      </c>
      <c r="H22" s="133"/>
      <c r="I22" s="110" t="s">
        <v>90</v>
      </c>
      <c r="J22" s="133"/>
      <c r="K22" s="133"/>
      <c r="L22" s="133"/>
      <c r="M22" s="133"/>
      <c r="N22" s="133"/>
      <c r="O22" s="391"/>
      <c r="P22" s="109" t="s">
        <v>7</v>
      </c>
      <c r="Q22" s="139">
        <v>828000</v>
      </c>
      <c r="R22" s="392">
        <v>0.18820000000000001</v>
      </c>
      <c r="S22" s="393">
        <f t="shared" si="2"/>
        <v>155829.6</v>
      </c>
      <c r="T22" s="387">
        <f t="shared" si="3"/>
        <v>697.55686604886273</v>
      </c>
      <c r="U22" s="141">
        <f t="shared" si="4"/>
        <v>45026</v>
      </c>
      <c r="V22" s="328">
        <v>44995</v>
      </c>
      <c r="W22" s="143" t="s">
        <v>91</v>
      </c>
      <c r="X22" s="482"/>
      <c r="Y22" s="135" t="str">
        <f t="shared" si="5"/>
        <v>x</v>
      </c>
      <c r="Z22" s="426" t="str">
        <f t="shared" si="6"/>
        <v>x</v>
      </c>
      <c r="AA22" s="136" t="str">
        <f t="shared" si="7"/>
        <v/>
      </c>
      <c r="AB22" s="185"/>
      <c r="AC22" s="185"/>
      <c r="AD22" s="185"/>
      <c r="AE22" s="185"/>
      <c r="AF22" s="185"/>
    </row>
    <row r="23" spans="1:32" s="115" customFormat="1" ht="16" customHeight="1">
      <c r="A23" s="106">
        <v>44862</v>
      </c>
      <c r="B23" s="109" t="s">
        <v>38</v>
      </c>
      <c r="C23" s="107" t="s">
        <v>59</v>
      </c>
      <c r="D23" s="107" t="s">
        <v>92</v>
      </c>
      <c r="E23" s="109"/>
      <c r="F23" s="109" t="s">
        <v>41</v>
      </c>
      <c r="G23" s="133">
        <f>4800+3424</f>
        <v>8224</v>
      </c>
      <c r="H23" s="133"/>
      <c r="I23" s="110" t="s">
        <v>93</v>
      </c>
      <c r="J23" s="133"/>
      <c r="K23" s="133" t="str">
        <f>IF(L23="","",(ROUNDUP(L23+M23,-1)))</f>
        <v/>
      </c>
      <c r="L23" s="133"/>
      <c r="M23" s="133"/>
      <c r="N23" s="133"/>
      <c r="O23" s="391"/>
      <c r="P23" s="138" t="s">
        <v>7</v>
      </c>
      <c r="Q23" s="139">
        <v>6204000</v>
      </c>
      <c r="R23" s="392">
        <v>0.17</v>
      </c>
      <c r="S23" s="393">
        <f t="shared" si="2"/>
        <v>1054680</v>
      </c>
      <c r="T23" s="387">
        <f t="shared" si="3"/>
        <v>754.37743190661479</v>
      </c>
      <c r="U23" s="141">
        <f t="shared" si="4"/>
        <v>44922</v>
      </c>
      <c r="V23" s="144">
        <v>44973</v>
      </c>
      <c r="W23" s="143" t="s">
        <v>94</v>
      </c>
      <c r="X23" s="482"/>
      <c r="Y23" s="135" t="str">
        <f t="shared" si="5"/>
        <v>x</v>
      </c>
      <c r="Z23" s="426" t="str">
        <f t="shared" si="6"/>
        <v>x</v>
      </c>
      <c r="AA23" s="136" t="str">
        <f t="shared" si="7"/>
        <v/>
      </c>
      <c r="AB23" s="185"/>
      <c r="AC23" s="185"/>
      <c r="AD23" s="185"/>
      <c r="AE23" s="185"/>
      <c r="AF23" s="185"/>
    </row>
    <row r="24" spans="1:32" s="115" customFormat="1" ht="16" customHeight="1">
      <c r="A24" s="106">
        <v>44901</v>
      </c>
      <c r="B24" s="109" t="s">
        <v>38</v>
      </c>
      <c r="C24" s="107" t="s">
        <v>54</v>
      </c>
      <c r="D24" s="137" t="s">
        <v>95</v>
      </c>
      <c r="E24" s="137"/>
      <c r="F24" s="109" t="s">
        <v>96</v>
      </c>
      <c r="G24" s="133">
        <v>1715</v>
      </c>
      <c r="H24" s="133"/>
      <c r="I24" s="110"/>
      <c r="J24" s="133"/>
      <c r="K24" s="133"/>
      <c r="L24" s="133"/>
      <c r="M24" s="133"/>
      <c r="N24" s="133"/>
      <c r="O24" s="391"/>
      <c r="P24" s="109" t="s">
        <v>7</v>
      </c>
      <c r="Q24" s="139">
        <v>1087440</v>
      </c>
      <c r="R24" s="392">
        <v>0.17199999999999999</v>
      </c>
      <c r="S24" s="393">
        <f t="shared" si="2"/>
        <v>187039.68</v>
      </c>
      <c r="T24" s="387">
        <f t="shared" si="3"/>
        <v>634.07580174927114</v>
      </c>
      <c r="U24" s="141">
        <f t="shared" si="4"/>
        <v>44961</v>
      </c>
      <c r="V24" s="144"/>
      <c r="W24" s="143"/>
      <c r="X24" s="482"/>
      <c r="Y24" s="135" t="str">
        <f t="shared" si="5"/>
        <v>x</v>
      </c>
      <c r="Z24" s="426" t="str">
        <f t="shared" si="6"/>
        <v>x</v>
      </c>
      <c r="AA24" s="136" t="str">
        <f t="shared" si="7"/>
        <v/>
      </c>
      <c r="AB24" s="185"/>
      <c r="AC24" s="185"/>
      <c r="AD24" s="185"/>
      <c r="AE24" s="185"/>
      <c r="AF24" s="185"/>
    </row>
    <row r="25" spans="1:32" s="115" customFormat="1" ht="16" customHeight="1">
      <c r="A25" s="106">
        <v>44910</v>
      </c>
      <c r="B25" s="109" t="s">
        <v>38</v>
      </c>
      <c r="C25" s="107" t="s">
        <v>97</v>
      </c>
      <c r="D25" s="137" t="s">
        <v>98</v>
      </c>
      <c r="E25" s="137"/>
      <c r="F25" s="109" t="s">
        <v>72</v>
      </c>
      <c r="G25" s="133">
        <v>5259</v>
      </c>
      <c r="H25" s="133"/>
      <c r="I25" s="110"/>
      <c r="J25" s="133" t="s">
        <v>79</v>
      </c>
      <c r="K25" s="133">
        <f>IF(L25="","",(ROUNDUP(L25+M25,-1)))</f>
        <v>2423070</v>
      </c>
      <c r="L25" s="133">
        <v>2202790</v>
      </c>
      <c r="M25" s="133">
        <f>L25*O25</f>
        <v>220279</v>
      </c>
      <c r="N25" s="133">
        <f>L25/G25</f>
        <v>418.86100019015021</v>
      </c>
      <c r="O25" s="391">
        <v>0.1</v>
      </c>
      <c r="P25" s="109" t="s">
        <v>2</v>
      </c>
      <c r="Q25" s="139">
        <v>3270880</v>
      </c>
      <c r="R25" s="392">
        <v>0.19400000000000001</v>
      </c>
      <c r="S25" s="393">
        <f t="shared" si="2"/>
        <v>634550.72</v>
      </c>
      <c r="T25" s="387">
        <f t="shared" si="3"/>
        <v>621.95854725232937</v>
      </c>
      <c r="U25" s="141">
        <f t="shared" si="4"/>
        <v>44970</v>
      </c>
      <c r="V25" s="142">
        <v>44995</v>
      </c>
      <c r="W25" s="143" t="s">
        <v>99</v>
      </c>
      <c r="X25" s="482">
        <v>1</v>
      </c>
      <c r="Y25" s="135" t="str">
        <f t="shared" si="5"/>
        <v/>
      </c>
      <c r="Z25" s="426" t="str">
        <f t="shared" si="6"/>
        <v/>
      </c>
      <c r="AA25" s="136" t="str">
        <f t="shared" si="7"/>
        <v>x</v>
      </c>
      <c r="AB25" s="185"/>
      <c r="AC25" s="185"/>
      <c r="AD25" s="185"/>
      <c r="AE25" s="185"/>
      <c r="AF25" s="185"/>
    </row>
    <row r="26" spans="1:32" s="115" customFormat="1" ht="16" customHeight="1">
      <c r="A26" s="106">
        <v>44915</v>
      </c>
      <c r="B26" s="109" t="s">
        <v>38</v>
      </c>
      <c r="C26" s="107" t="s">
        <v>54</v>
      </c>
      <c r="D26" s="137" t="s">
        <v>100</v>
      </c>
      <c r="E26" s="138"/>
      <c r="F26" s="109" t="s">
        <v>101</v>
      </c>
      <c r="G26" s="133">
        <v>4949</v>
      </c>
      <c r="H26" s="133"/>
      <c r="I26" s="110"/>
      <c r="J26" s="133"/>
      <c r="K26" s="133"/>
      <c r="L26" s="133"/>
      <c r="M26" s="133"/>
      <c r="N26" s="133"/>
      <c r="O26" s="391"/>
      <c r="P26" s="109" t="s">
        <v>43</v>
      </c>
      <c r="Q26" s="139">
        <v>3650875</v>
      </c>
      <c r="R26" s="392">
        <v>0.19500000000000001</v>
      </c>
      <c r="S26" s="393">
        <f t="shared" si="2"/>
        <v>711920.625</v>
      </c>
      <c r="T26" s="387">
        <f t="shared" si="3"/>
        <v>737.69953525964843</v>
      </c>
      <c r="U26" s="141">
        <f t="shared" si="4"/>
        <v>44975</v>
      </c>
      <c r="V26" s="142">
        <v>45385</v>
      </c>
      <c r="W26" s="143" t="s">
        <v>102</v>
      </c>
      <c r="X26" s="482">
        <v>2</v>
      </c>
      <c r="Y26" s="135" t="str">
        <f t="shared" si="5"/>
        <v/>
      </c>
      <c r="Z26" s="426" t="str">
        <f t="shared" si="6"/>
        <v/>
      </c>
      <c r="AA26" s="136" t="str">
        <f t="shared" si="7"/>
        <v/>
      </c>
      <c r="AB26" s="185"/>
      <c r="AC26" s="185"/>
      <c r="AD26" s="185"/>
      <c r="AE26" s="185"/>
      <c r="AF26" s="185"/>
    </row>
    <row r="27" spans="1:32" s="115" customFormat="1" ht="16" customHeight="1">
      <c r="A27" s="106">
        <v>44922</v>
      </c>
      <c r="B27" s="109" t="s">
        <v>38</v>
      </c>
      <c r="C27" s="107" t="s">
        <v>44</v>
      </c>
      <c r="D27" s="137" t="s">
        <v>103</v>
      </c>
      <c r="E27" s="137"/>
      <c r="F27" s="109" t="s">
        <v>46</v>
      </c>
      <c r="G27" s="133">
        <v>3808</v>
      </c>
      <c r="H27" s="133"/>
      <c r="I27" s="110" t="s">
        <v>104</v>
      </c>
      <c r="J27" s="133"/>
      <c r="K27" s="133"/>
      <c r="L27" s="133"/>
      <c r="M27" s="133"/>
      <c r="N27" s="133"/>
      <c r="O27" s="391"/>
      <c r="P27" s="109" t="s">
        <v>7</v>
      </c>
      <c r="Q27" s="139">
        <v>2500000</v>
      </c>
      <c r="R27" s="392">
        <v>0.2437</v>
      </c>
      <c r="S27" s="393">
        <f t="shared" si="2"/>
        <v>609250</v>
      </c>
      <c r="T27" s="387">
        <f t="shared" si="3"/>
        <v>656.51260504201684</v>
      </c>
      <c r="U27" s="141">
        <f t="shared" si="4"/>
        <v>44982</v>
      </c>
      <c r="V27" s="144"/>
      <c r="W27" s="478" t="s">
        <v>105</v>
      </c>
      <c r="X27" s="482"/>
      <c r="Y27" s="135" t="str">
        <f t="shared" si="5"/>
        <v>x</v>
      </c>
      <c r="Z27" s="426" t="str">
        <f t="shared" si="6"/>
        <v>x</v>
      </c>
      <c r="AA27" s="136" t="str">
        <f t="shared" si="7"/>
        <v/>
      </c>
      <c r="AB27" s="185"/>
      <c r="AC27" s="185"/>
      <c r="AD27" s="185"/>
      <c r="AE27" s="185"/>
      <c r="AF27" s="185"/>
    </row>
    <row r="28" spans="1:32" s="115" customFormat="1" ht="16" customHeight="1">
      <c r="A28" s="106">
        <v>44986</v>
      </c>
      <c r="B28" s="109" t="s">
        <v>38</v>
      </c>
      <c r="C28" s="107" t="s">
        <v>106</v>
      </c>
      <c r="D28" s="137" t="s">
        <v>107</v>
      </c>
      <c r="E28" s="137"/>
      <c r="F28" s="109" t="s">
        <v>41</v>
      </c>
      <c r="G28" s="133">
        <v>1514</v>
      </c>
      <c r="H28" s="133"/>
      <c r="I28" s="110"/>
      <c r="J28" s="133"/>
      <c r="K28" s="133"/>
      <c r="L28" s="133"/>
      <c r="M28" s="133"/>
      <c r="N28" s="133"/>
      <c r="O28" s="391"/>
      <c r="P28" s="109" t="s">
        <v>2</v>
      </c>
      <c r="Q28" s="139">
        <v>1177580</v>
      </c>
      <c r="R28" s="392">
        <v>0.22</v>
      </c>
      <c r="S28" s="393">
        <f t="shared" si="2"/>
        <v>259067.6</v>
      </c>
      <c r="T28" s="387">
        <f t="shared" si="3"/>
        <v>777.79392338177013</v>
      </c>
      <c r="U28" s="141">
        <f t="shared" si="4"/>
        <v>45046</v>
      </c>
      <c r="V28" s="144"/>
      <c r="W28" s="143"/>
      <c r="X28" s="476"/>
      <c r="Y28" s="135" t="str">
        <f t="shared" si="5"/>
        <v/>
      </c>
      <c r="Z28" s="426" t="str">
        <f t="shared" si="6"/>
        <v/>
      </c>
      <c r="AA28" s="136" t="str">
        <f t="shared" si="7"/>
        <v>x</v>
      </c>
      <c r="AB28" s="185"/>
      <c r="AC28" s="185"/>
      <c r="AD28" s="185"/>
      <c r="AE28" s="185"/>
      <c r="AF28" s="185"/>
    </row>
    <row r="29" spans="1:32" s="115" customFormat="1" ht="16" customHeight="1">
      <c r="A29" s="106">
        <v>45191</v>
      </c>
      <c r="B29" s="109" t="s">
        <v>38</v>
      </c>
      <c r="C29" s="107" t="s">
        <v>54</v>
      </c>
      <c r="D29" s="137" t="s">
        <v>108</v>
      </c>
      <c r="E29" s="138"/>
      <c r="F29" s="109" t="s">
        <v>109</v>
      </c>
      <c r="G29" s="133">
        <v>7116</v>
      </c>
      <c r="H29" s="133">
        <v>2268</v>
      </c>
      <c r="I29" s="110"/>
      <c r="J29" s="133"/>
      <c r="K29" s="133"/>
      <c r="L29" s="133"/>
      <c r="M29" s="133"/>
      <c r="N29" s="133"/>
      <c r="O29" s="391"/>
      <c r="P29" s="109" t="s">
        <v>80</v>
      </c>
      <c r="Q29" s="139">
        <v>5131941</v>
      </c>
      <c r="R29" s="392">
        <v>0.17</v>
      </c>
      <c r="S29" s="393">
        <f t="shared" si="2"/>
        <v>872429.97000000009</v>
      </c>
      <c r="T29" s="387">
        <f t="shared" si="3"/>
        <v>721.183389544688</v>
      </c>
      <c r="U29" s="141">
        <f t="shared" si="4"/>
        <v>45251</v>
      </c>
      <c r="V29" s="142">
        <v>45385</v>
      </c>
      <c r="W29" s="143" t="s">
        <v>110</v>
      </c>
      <c r="X29" s="476"/>
      <c r="Y29" s="135" t="str">
        <f t="shared" si="5"/>
        <v/>
      </c>
      <c r="Z29" s="426" t="str">
        <f t="shared" si="6"/>
        <v/>
      </c>
      <c r="AA29" s="136" t="str">
        <f t="shared" si="7"/>
        <v/>
      </c>
      <c r="AB29" s="185"/>
      <c r="AC29" s="185"/>
      <c r="AD29" s="185"/>
      <c r="AE29" s="185"/>
      <c r="AF29" s="185"/>
    </row>
    <row r="30" spans="1:32" s="115" customFormat="1" ht="16" customHeight="1">
      <c r="A30" s="106">
        <v>44927</v>
      </c>
      <c r="B30" s="109" t="s">
        <v>38</v>
      </c>
      <c r="C30" s="107" t="s">
        <v>54</v>
      </c>
      <c r="D30" s="137" t="s">
        <v>111</v>
      </c>
      <c r="E30" s="137"/>
      <c r="F30" s="109" t="s">
        <v>112</v>
      </c>
      <c r="G30" s="133">
        <v>125</v>
      </c>
      <c r="H30" s="133"/>
      <c r="I30" s="110" t="s">
        <v>113</v>
      </c>
      <c r="J30" s="133"/>
      <c r="K30" s="133"/>
      <c r="L30" s="133"/>
      <c r="M30" s="133"/>
      <c r="N30" s="133"/>
      <c r="O30" s="391"/>
      <c r="P30" s="109" t="s">
        <v>7</v>
      </c>
      <c r="Q30" s="139">
        <v>218320</v>
      </c>
      <c r="R30" s="392">
        <v>0.39300000000000002</v>
      </c>
      <c r="S30" s="393">
        <f t="shared" si="2"/>
        <v>85799.760000000009</v>
      </c>
      <c r="T30" s="387">
        <f t="shared" si="3"/>
        <v>1746.56</v>
      </c>
      <c r="U30" s="141">
        <f t="shared" si="4"/>
        <v>44987</v>
      </c>
      <c r="V30" s="144"/>
      <c r="W30" s="143"/>
      <c r="X30" s="476"/>
      <c r="Y30" s="135" t="str">
        <f t="shared" si="5"/>
        <v>x</v>
      </c>
      <c r="Z30" s="426" t="str">
        <f t="shared" si="6"/>
        <v>x</v>
      </c>
      <c r="AA30" s="136" t="str">
        <f t="shared" si="7"/>
        <v/>
      </c>
      <c r="AB30" s="185"/>
      <c r="AC30" s="185"/>
      <c r="AD30" s="185"/>
      <c r="AE30" s="185"/>
      <c r="AF30" s="185"/>
    </row>
    <row r="31" spans="1:32" s="115" customFormat="1" ht="16" customHeight="1">
      <c r="A31" s="106">
        <v>44935</v>
      </c>
      <c r="B31" s="109" t="s">
        <v>38</v>
      </c>
      <c r="C31" s="107" t="s">
        <v>54</v>
      </c>
      <c r="D31" s="137" t="s">
        <v>114</v>
      </c>
      <c r="E31" s="137"/>
      <c r="F31" s="109" t="s">
        <v>83</v>
      </c>
      <c r="G31" s="133">
        <v>2367</v>
      </c>
      <c r="H31" s="133"/>
      <c r="I31" s="110"/>
      <c r="J31" s="133"/>
      <c r="K31" s="133"/>
      <c r="L31" s="133"/>
      <c r="M31" s="133"/>
      <c r="N31" s="133"/>
      <c r="O31" s="391"/>
      <c r="P31" s="109" t="s">
        <v>2</v>
      </c>
      <c r="Q31" s="139">
        <v>1675000</v>
      </c>
      <c r="R31" s="392">
        <v>0.20080000000000001</v>
      </c>
      <c r="S31" s="393">
        <f t="shared" si="2"/>
        <v>336340</v>
      </c>
      <c r="T31" s="387">
        <f t="shared" si="3"/>
        <v>707.64681030840723</v>
      </c>
      <c r="U31" s="141">
        <f t="shared" si="4"/>
        <v>44995</v>
      </c>
      <c r="V31" s="142">
        <v>45385</v>
      </c>
      <c r="W31" s="143" t="s">
        <v>115</v>
      </c>
      <c r="X31" s="476"/>
      <c r="Y31" s="135" t="str">
        <f t="shared" si="5"/>
        <v/>
      </c>
      <c r="Z31" s="426" t="str">
        <f t="shared" si="6"/>
        <v/>
      </c>
      <c r="AA31" s="136" t="str">
        <f t="shared" si="7"/>
        <v>x</v>
      </c>
      <c r="AB31" s="185"/>
      <c r="AC31" s="185"/>
      <c r="AD31" s="185"/>
      <c r="AE31" s="185"/>
      <c r="AF31" s="185"/>
    </row>
    <row r="32" spans="1:32" s="115" customFormat="1" ht="16" customHeight="1">
      <c r="A32" s="106">
        <v>45169</v>
      </c>
      <c r="B32" s="109" t="s">
        <v>38</v>
      </c>
      <c r="C32" s="107" t="s">
        <v>116</v>
      </c>
      <c r="D32" s="137" t="s">
        <v>117</v>
      </c>
      <c r="E32" s="138"/>
      <c r="F32" s="109" t="s">
        <v>77</v>
      </c>
      <c r="G32" s="133">
        <v>20539</v>
      </c>
      <c r="H32" s="133">
        <v>4532</v>
      </c>
      <c r="I32" s="110"/>
      <c r="J32" s="133"/>
      <c r="K32" s="133"/>
      <c r="L32" s="133"/>
      <c r="M32" s="133"/>
      <c r="N32" s="133"/>
      <c r="O32" s="391"/>
      <c r="P32" s="109" t="s">
        <v>7</v>
      </c>
      <c r="Q32" s="139">
        <v>11886606</v>
      </c>
      <c r="R32" s="392">
        <v>9.01E-2</v>
      </c>
      <c r="S32" s="393">
        <f t="shared" si="2"/>
        <v>1070983.2006000001</v>
      </c>
      <c r="T32" s="387">
        <f t="shared" si="3"/>
        <v>578.73343395491509</v>
      </c>
      <c r="U32" s="141">
        <f t="shared" si="4"/>
        <v>45229</v>
      </c>
      <c r="V32" s="144"/>
      <c r="W32" s="143" t="s">
        <v>118</v>
      </c>
      <c r="X32" s="476"/>
      <c r="Y32" s="135" t="str">
        <f t="shared" si="5"/>
        <v>x</v>
      </c>
      <c r="Z32" s="426" t="str">
        <f t="shared" si="6"/>
        <v>x</v>
      </c>
      <c r="AA32" s="136" t="str">
        <f t="shared" si="7"/>
        <v/>
      </c>
      <c r="AB32" s="185"/>
      <c r="AC32" s="185"/>
      <c r="AD32" s="185"/>
      <c r="AE32" s="185"/>
      <c r="AF32" s="185"/>
    </row>
    <row r="33" spans="1:32" s="115" customFormat="1" ht="16" customHeight="1">
      <c r="A33" s="106">
        <v>44953</v>
      </c>
      <c r="B33" s="109" t="s">
        <v>38</v>
      </c>
      <c r="C33" s="107" t="s">
        <v>54</v>
      </c>
      <c r="D33" s="137" t="s">
        <v>119</v>
      </c>
      <c r="E33" s="137"/>
      <c r="F33" s="109" t="s">
        <v>120</v>
      </c>
      <c r="G33" s="133"/>
      <c r="H33" s="133"/>
      <c r="I33" s="110"/>
      <c r="J33" s="133"/>
      <c r="K33" s="133"/>
      <c r="L33" s="133"/>
      <c r="M33" s="133"/>
      <c r="N33" s="133"/>
      <c r="O33" s="391"/>
      <c r="P33" s="109" t="s">
        <v>2</v>
      </c>
      <c r="Q33" s="139"/>
      <c r="R33" s="392">
        <v>0.13830000000000001</v>
      </c>
      <c r="S33" s="393">
        <f t="shared" si="2"/>
        <v>0</v>
      </c>
      <c r="T33" s="387" t="e">
        <f t="shared" si="3"/>
        <v>#DIV/0!</v>
      </c>
      <c r="U33" s="141">
        <f t="shared" si="4"/>
        <v>45013</v>
      </c>
      <c r="V33" s="142">
        <v>45385</v>
      </c>
      <c r="W33" s="143" t="s">
        <v>121</v>
      </c>
      <c r="X33" s="476">
        <v>2</v>
      </c>
      <c r="Y33" s="135" t="str">
        <f t="shared" si="5"/>
        <v/>
      </c>
      <c r="Z33" s="426" t="str">
        <f t="shared" si="6"/>
        <v/>
      </c>
      <c r="AA33" s="136" t="str">
        <f t="shared" si="7"/>
        <v>x</v>
      </c>
      <c r="AB33" s="185"/>
      <c r="AC33" s="185"/>
      <c r="AD33" s="185"/>
      <c r="AE33" s="185"/>
      <c r="AF33" s="185"/>
    </row>
    <row r="34" spans="1:32" s="115" customFormat="1" ht="16" customHeight="1">
      <c r="A34" s="106">
        <v>44952</v>
      </c>
      <c r="B34" s="109" t="s">
        <v>38</v>
      </c>
      <c r="C34" s="107" t="s">
        <v>54</v>
      </c>
      <c r="D34" s="137" t="s">
        <v>122</v>
      </c>
      <c r="E34" s="138"/>
      <c r="F34" s="109"/>
      <c r="G34" s="133">
        <v>289</v>
      </c>
      <c r="H34" s="133"/>
      <c r="I34" s="110"/>
      <c r="J34" s="133"/>
      <c r="K34" s="133" t="str">
        <f>IF(L34="","",(ROUNDUP(L34+M34,-1)))</f>
        <v/>
      </c>
      <c r="L34" s="133"/>
      <c r="M34" s="133">
        <f>L34*O34</f>
        <v>0</v>
      </c>
      <c r="N34" s="133">
        <f>L34/3500</f>
        <v>0</v>
      </c>
      <c r="O34" s="391"/>
      <c r="P34" s="109" t="s">
        <v>80</v>
      </c>
      <c r="Q34" s="139">
        <v>285000</v>
      </c>
      <c r="R34" s="392">
        <v>0.17100000000000001</v>
      </c>
      <c r="S34" s="393">
        <f t="shared" si="2"/>
        <v>48735.000000000007</v>
      </c>
      <c r="T34" s="387">
        <f t="shared" si="3"/>
        <v>986.15916955017303</v>
      </c>
      <c r="U34" s="141">
        <f t="shared" si="4"/>
        <v>45012</v>
      </c>
      <c r="V34" s="142">
        <v>45385</v>
      </c>
      <c r="W34" s="143" t="s">
        <v>123</v>
      </c>
      <c r="X34" s="476"/>
      <c r="Y34" s="135" t="str">
        <f t="shared" si="5"/>
        <v/>
      </c>
      <c r="Z34" s="426" t="str">
        <f t="shared" si="6"/>
        <v/>
      </c>
      <c r="AA34" s="136" t="str">
        <f t="shared" si="7"/>
        <v/>
      </c>
      <c r="AB34" s="185"/>
      <c r="AC34" s="185"/>
      <c r="AD34" s="185"/>
      <c r="AE34" s="185"/>
      <c r="AF34" s="185"/>
    </row>
    <row r="35" spans="1:32" s="115" customFormat="1" ht="16" customHeight="1">
      <c r="A35" s="106">
        <v>44959</v>
      </c>
      <c r="B35" s="109" t="s">
        <v>38</v>
      </c>
      <c r="C35" s="107" t="s">
        <v>124</v>
      </c>
      <c r="D35" s="137" t="s">
        <v>125</v>
      </c>
      <c r="E35" s="137"/>
      <c r="F35" s="109" t="s">
        <v>126</v>
      </c>
      <c r="G35" s="133">
        <v>20448</v>
      </c>
      <c r="H35" s="133"/>
      <c r="I35" s="110" t="s">
        <v>127</v>
      </c>
      <c r="J35" s="133"/>
      <c r="K35" s="133"/>
      <c r="L35" s="133"/>
      <c r="M35" s="133"/>
      <c r="N35" s="133"/>
      <c r="O35" s="391"/>
      <c r="P35" s="109" t="s">
        <v>2</v>
      </c>
      <c r="Q35" s="139">
        <v>12254685</v>
      </c>
      <c r="R35" s="392">
        <v>0.12</v>
      </c>
      <c r="S35" s="393">
        <f t="shared" si="2"/>
        <v>1470562.2</v>
      </c>
      <c r="T35" s="387">
        <f t="shared" si="3"/>
        <v>599.30971244131456</v>
      </c>
      <c r="U35" s="141">
        <f t="shared" si="4"/>
        <v>45019</v>
      </c>
      <c r="V35" s="142">
        <v>44973</v>
      </c>
      <c r="W35" s="143" t="s">
        <v>128</v>
      </c>
      <c r="X35" s="476">
        <v>1</v>
      </c>
      <c r="Y35" s="135" t="str">
        <f t="shared" si="5"/>
        <v/>
      </c>
      <c r="Z35" s="426" t="str">
        <f t="shared" si="6"/>
        <v/>
      </c>
      <c r="AA35" s="136" t="str">
        <f t="shared" si="7"/>
        <v>x</v>
      </c>
      <c r="AB35" s="185"/>
      <c r="AC35" s="185"/>
      <c r="AD35" s="185"/>
      <c r="AE35" s="185"/>
      <c r="AF35" s="185"/>
    </row>
    <row r="36" spans="1:32" s="115" customFormat="1" ht="16" customHeight="1">
      <c r="A36" s="106">
        <v>45231</v>
      </c>
      <c r="B36" s="109" t="s">
        <v>38</v>
      </c>
      <c r="C36" s="107" t="s">
        <v>54</v>
      </c>
      <c r="D36" s="137" t="s">
        <v>129</v>
      </c>
      <c r="E36" s="138"/>
      <c r="F36" s="109" t="s">
        <v>130</v>
      </c>
      <c r="G36" s="133">
        <v>52768</v>
      </c>
      <c r="H36" s="133">
        <f>11117-70</f>
        <v>11047</v>
      </c>
      <c r="I36" s="110"/>
      <c r="J36" s="133"/>
      <c r="K36" s="133"/>
      <c r="L36" s="133"/>
      <c r="M36" s="133"/>
      <c r="N36" s="133"/>
      <c r="O36" s="391"/>
      <c r="P36" s="109" t="s">
        <v>7</v>
      </c>
      <c r="Q36" s="139">
        <v>29786500</v>
      </c>
      <c r="R36" s="392">
        <v>0.13689999999999999</v>
      </c>
      <c r="S36" s="393">
        <f t="shared" ref="S36:S43" si="9">Q36*R36</f>
        <v>4077771.8499999996</v>
      </c>
      <c r="T36" s="387">
        <f t="shared" ref="T36:T43" si="10">Q36/G36</f>
        <v>564.48036688902368</v>
      </c>
      <c r="U36" s="141">
        <f t="shared" ref="U36:U43" si="11">IF(A36="","",(A36+60))</f>
        <v>45291</v>
      </c>
      <c r="V36" s="142">
        <v>44995</v>
      </c>
      <c r="W36" s="143"/>
      <c r="X36" s="476"/>
      <c r="Y36" s="135" t="str">
        <f t="shared" ref="Y36:Y43" si="12">IF(OR(P36="Ordre",P36="Ferdig"),"x","")</f>
        <v>x</v>
      </c>
      <c r="Z36" s="426" t="str">
        <f t="shared" ref="Z36:Z43" si="13">IF(P36="Ferdig","x","")</f>
        <v>x</v>
      </c>
      <c r="AA36" s="136" t="str">
        <f t="shared" ref="AA36:AA43" si="14">IF(P36="Tapt","x","")</f>
        <v/>
      </c>
      <c r="AB36" s="185"/>
      <c r="AC36" s="185"/>
      <c r="AD36" s="185"/>
      <c r="AE36" s="185"/>
      <c r="AF36" s="185"/>
    </row>
    <row r="37" spans="1:32" s="115" customFormat="1" ht="16" customHeight="1">
      <c r="A37" s="106">
        <v>44966</v>
      </c>
      <c r="B37" s="109" t="s">
        <v>38</v>
      </c>
      <c r="C37" s="107" t="s">
        <v>54</v>
      </c>
      <c r="D37" s="137" t="s">
        <v>131</v>
      </c>
      <c r="E37" s="137"/>
      <c r="F37" s="109" t="s">
        <v>41</v>
      </c>
      <c r="G37" s="133">
        <v>3247</v>
      </c>
      <c r="H37" s="133"/>
      <c r="I37" s="110" t="s">
        <v>132</v>
      </c>
      <c r="J37" s="133"/>
      <c r="K37" s="133"/>
      <c r="L37" s="133"/>
      <c r="M37" s="133"/>
      <c r="N37" s="133"/>
      <c r="O37" s="391"/>
      <c r="P37" s="109" t="s">
        <v>7</v>
      </c>
      <c r="Q37" s="139">
        <v>1992370</v>
      </c>
      <c r="R37" s="392">
        <v>0.18820000000000001</v>
      </c>
      <c r="S37" s="393">
        <f t="shared" si="9"/>
        <v>374964.03399999999</v>
      </c>
      <c r="T37" s="387">
        <f t="shared" si="10"/>
        <v>613.60332614721278</v>
      </c>
      <c r="U37" s="141">
        <f t="shared" si="11"/>
        <v>45026</v>
      </c>
      <c r="V37" s="142">
        <v>44995</v>
      </c>
      <c r="W37" s="143" t="s">
        <v>133</v>
      </c>
      <c r="X37" s="476"/>
      <c r="Y37" s="135" t="str">
        <f t="shared" si="12"/>
        <v>x</v>
      </c>
      <c r="Z37" s="426" t="str">
        <f t="shared" si="13"/>
        <v>x</v>
      </c>
      <c r="AA37" s="136" t="str">
        <f t="shared" si="14"/>
        <v/>
      </c>
      <c r="AB37" s="185"/>
      <c r="AC37" s="185"/>
      <c r="AD37" s="185"/>
      <c r="AE37" s="185"/>
      <c r="AF37" s="185"/>
    </row>
    <row r="38" spans="1:32" s="115" customFormat="1" ht="16" customHeight="1">
      <c r="A38" s="106">
        <v>45035</v>
      </c>
      <c r="B38" s="109" t="s">
        <v>38</v>
      </c>
      <c r="C38" s="107" t="s">
        <v>85</v>
      </c>
      <c r="D38" s="137" t="s">
        <v>134</v>
      </c>
      <c r="E38" s="137"/>
      <c r="F38" s="109" t="s">
        <v>135</v>
      </c>
      <c r="G38" s="133">
        <v>12585</v>
      </c>
      <c r="H38" s="133"/>
      <c r="I38" s="110"/>
      <c r="J38" s="133"/>
      <c r="K38" s="133"/>
      <c r="L38" s="133"/>
      <c r="M38" s="133"/>
      <c r="N38" s="133"/>
      <c r="O38" s="391"/>
      <c r="P38" s="109" t="s">
        <v>2</v>
      </c>
      <c r="Q38" s="139">
        <v>5727475</v>
      </c>
      <c r="R38" s="392">
        <v>0.245</v>
      </c>
      <c r="S38" s="393">
        <f t="shared" si="9"/>
        <v>1403231.375</v>
      </c>
      <c r="T38" s="387">
        <f t="shared" si="10"/>
        <v>455.10329757647992</v>
      </c>
      <c r="U38" s="141">
        <f t="shared" si="11"/>
        <v>45095</v>
      </c>
      <c r="V38" s="144"/>
      <c r="W38" s="143" t="s">
        <v>136</v>
      </c>
      <c r="X38" s="476">
        <v>1</v>
      </c>
      <c r="Y38" s="135" t="str">
        <f t="shared" si="12"/>
        <v/>
      </c>
      <c r="Z38" s="426" t="str">
        <f t="shared" si="13"/>
        <v/>
      </c>
      <c r="AA38" s="136" t="str">
        <f t="shared" si="14"/>
        <v>x</v>
      </c>
      <c r="AB38" s="185"/>
      <c r="AC38" s="185"/>
      <c r="AD38" s="185"/>
      <c r="AE38" s="185"/>
      <c r="AF38" s="185"/>
    </row>
    <row r="39" spans="1:32" s="115" customFormat="1" ht="16" customHeight="1">
      <c r="A39" s="106">
        <v>45089</v>
      </c>
      <c r="B39" s="109" t="s">
        <v>38</v>
      </c>
      <c r="C39" s="107" t="s">
        <v>54</v>
      </c>
      <c r="D39" s="137" t="s">
        <v>137</v>
      </c>
      <c r="E39" s="137"/>
      <c r="F39" s="109" t="s">
        <v>138</v>
      </c>
      <c r="G39" s="133">
        <v>528</v>
      </c>
      <c r="H39" s="133">
        <f>137</f>
        <v>137</v>
      </c>
      <c r="I39" s="110"/>
      <c r="J39" s="133"/>
      <c r="K39" s="133"/>
      <c r="L39" s="133"/>
      <c r="M39" s="133"/>
      <c r="N39" s="133"/>
      <c r="O39" s="391"/>
      <c r="P39" s="109" t="s">
        <v>7</v>
      </c>
      <c r="Q39" s="139">
        <v>449000</v>
      </c>
      <c r="R39" s="392">
        <v>0.2283</v>
      </c>
      <c r="S39" s="393">
        <f t="shared" si="9"/>
        <v>102506.7</v>
      </c>
      <c r="T39" s="387">
        <f t="shared" si="10"/>
        <v>850.37878787878788</v>
      </c>
      <c r="U39" s="141">
        <f t="shared" si="11"/>
        <v>45149</v>
      </c>
      <c r="V39" s="142">
        <v>44995</v>
      </c>
      <c r="W39" s="143" t="s">
        <v>91</v>
      </c>
      <c r="X39" s="476"/>
      <c r="Y39" s="135" t="str">
        <f t="shared" si="12"/>
        <v>x</v>
      </c>
      <c r="Z39" s="426" t="str">
        <f t="shared" si="13"/>
        <v>x</v>
      </c>
      <c r="AA39" s="136" t="str">
        <f t="shared" si="14"/>
        <v/>
      </c>
      <c r="AB39" s="185"/>
      <c r="AC39" s="185"/>
      <c r="AD39" s="185"/>
      <c r="AE39" s="185"/>
      <c r="AF39" s="185"/>
    </row>
    <row r="40" spans="1:32" s="115" customFormat="1" ht="16" customHeight="1">
      <c r="A40" s="106">
        <v>44971</v>
      </c>
      <c r="B40" s="109" t="s">
        <v>38</v>
      </c>
      <c r="C40" s="439" t="s">
        <v>139</v>
      </c>
      <c r="D40" s="358" t="s">
        <v>140</v>
      </c>
      <c r="E40" s="358"/>
      <c r="F40" s="109" t="s">
        <v>50</v>
      </c>
      <c r="G40" s="133">
        <v>3170</v>
      </c>
      <c r="H40" s="133"/>
      <c r="I40" s="110"/>
      <c r="J40" s="133"/>
      <c r="K40" s="133"/>
      <c r="L40" s="133"/>
      <c r="M40" s="133"/>
      <c r="N40" s="133"/>
      <c r="O40" s="391"/>
      <c r="P40" s="109" t="s">
        <v>7</v>
      </c>
      <c r="Q40" s="333">
        <v>2350000</v>
      </c>
      <c r="R40" s="392">
        <v>0.1696</v>
      </c>
      <c r="S40" s="393">
        <f t="shared" si="9"/>
        <v>398560</v>
      </c>
      <c r="T40" s="387">
        <f t="shared" si="10"/>
        <v>741.32492113564672</v>
      </c>
      <c r="U40" s="141">
        <f t="shared" si="11"/>
        <v>45031</v>
      </c>
      <c r="V40" s="142"/>
      <c r="W40" s="143"/>
      <c r="X40" s="476"/>
      <c r="Y40" s="135" t="str">
        <f t="shared" si="12"/>
        <v>x</v>
      </c>
      <c r="Z40" s="426" t="str">
        <f t="shared" si="13"/>
        <v>x</v>
      </c>
      <c r="AA40" s="136" t="str">
        <f t="shared" si="14"/>
        <v/>
      </c>
      <c r="AB40" s="185"/>
      <c r="AC40" s="185"/>
      <c r="AD40" s="185"/>
      <c r="AE40" s="185"/>
      <c r="AF40" s="185"/>
    </row>
    <row r="41" spans="1:32" s="115" customFormat="1" ht="16" customHeight="1">
      <c r="A41" s="106">
        <v>44979</v>
      </c>
      <c r="B41" s="109" t="s">
        <v>38</v>
      </c>
      <c r="C41" s="107" t="s">
        <v>54</v>
      </c>
      <c r="D41" s="137" t="s">
        <v>141</v>
      </c>
      <c r="E41" s="137"/>
      <c r="F41" s="109" t="s">
        <v>112</v>
      </c>
      <c r="G41" s="133">
        <f>1688+538</f>
        <v>2226</v>
      </c>
      <c r="H41" s="133"/>
      <c r="I41" s="110"/>
      <c r="J41" s="133"/>
      <c r="K41" s="133"/>
      <c r="L41" s="133"/>
      <c r="M41" s="133"/>
      <c r="N41" s="133"/>
      <c r="O41" s="391"/>
      <c r="P41" s="109" t="s">
        <v>7</v>
      </c>
      <c r="Q41" s="139">
        <v>2373245</v>
      </c>
      <c r="R41" s="392">
        <v>0.218</v>
      </c>
      <c r="S41" s="393">
        <f t="shared" si="9"/>
        <v>517367.41</v>
      </c>
      <c r="T41" s="387">
        <f t="shared" si="10"/>
        <v>1066.1477987421383</v>
      </c>
      <c r="U41" s="141">
        <f t="shared" si="11"/>
        <v>45039</v>
      </c>
      <c r="V41" s="144"/>
      <c r="W41" s="143"/>
      <c r="X41" s="476"/>
      <c r="Y41" s="135" t="str">
        <f t="shared" si="12"/>
        <v>x</v>
      </c>
      <c r="Z41" s="426" t="str">
        <f t="shared" si="13"/>
        <v>x</v>
      </c>
      <c r="AA41" s="136" t="str">
        <f t="shared" si="14"/>
        <v/>
      </c>
      <c r="AB41" s="185"/>
      <c r="AC41" s="185"/>
      <c r="AD41" s="185"/>
      <c r="AE41" s="185"/>
      <c r="AF41" s="185"/>
    </row>
    <row r="42" spans="1:32" s="115" customFormat="1" ht="16" customHeight="1">
      <c r="A42" s="106">
        <v>44993</v>
      </c>
      <c r="B42" s="109" t="s">
        <v>38</v>
      </c>
      <c r="C42" s="107" t="s">
        <v>85</v>
      </c>
      <c r="D42" s="137" t="s">
        <v>142</v>
      </c>
      <c r="E42" s="137"/>
      <c r="F42" s="109" t="s">
        <v>143</v>
      </c>
      <c r="G42" s="133">
        <v>3692</v>
      </c>
      <c r="H42" s="133"/>
      <c r="I42" s="110"/>
      <c r="J42" s="133"/>
      <c r="K42" s="133"/>
      <c r="L42" s="133"/>
      <c r="M42" s="133"/>
      <c r="N42" s="133"/>
      <c r="O42" s="391"/>
      <c r="P42" s="109" t="s">
        <v>2</v>
      </c>
      <c r="Q42" s="139">
        <v>2746990</v>
      </c>
      <c r="R42" s="392">
        <v>0.19020000000000001</v>
      </c>
      <c r="S42" s="393">
        <f t="shared" si="9"/>
        <v>522477.49800000002</v>
      </c>
      <c r="T42" s="387">
        <f t="shared" si="10"/>
        <v>744.03846153846155</v>
      </c>
      <c r="U42" s="141">
        <f t="shared" si="11"/>
        <v>45053</v>
      </c>
      <c r="V42" s="144"/>
      <c r="W42" s="143"/>
      <c r="X42" s="476"/>
      <c r="Y42" s="135" t="str">
        <f t="shared" si="12"/>
        <v/>
      </c>
      <c r="Z42" s="426" t="str">
        <f t="shared" si="13"/>
        <v/>
      </c>
      <c r="AA42" s="136" t="str">
        <f t="shared" si="14"/>
        <v>x</v>
      </c>
      <c r="AB42" s="185"/>
      <c r="AC42" s="185"/>
      <c r="AD42" s="185"/>
      <c r="AE42" s="185"/>
      <c r="AF42" s="185"/>
    </row>
    <row r="43" spans="1:32" s="115" customFormat="1" ht="16" customHeight="1">
      <c r="A43" s="273">
        <v>45114</v>
      </c>
      <c r="B43" s="109" t="s">
        <v>38</v>
      </c>
      <c r="C43" s="137" t="s">
        <v>144</v>
      </c>
      <c r="D43" s="137" t="s">
        <v>145</v>
      </c>
      <c r="E43" s="138"/>
      <c r="F43" s="109" t="s">
        <v>146</v>
      </c>
      <c r="G43" s="133">
        <v>646</v>
      </c>
      <c r="H43" s="133">
        <v>467</v>
      </c>
      <c r="I43" s="109"/>
      <c r="J43" s="109"/>
      <c r="K43" s="133"/>
      <c r="L43" s="109"/>
      <c r="M43" s="109"/>
      <c r="N43" s="109"/>
      <c r="O43" s="391"/>
      <c r="P43" s="138" t="s">
        <v>2</v>
      </c>
      <c r="Q43" s="139">
        <v>769160</v>
      </c>
      <c r="R43" s="392">
        <v>0.22</v>
      </c>
      <c r="S43" s="393">
        <f t="shared" si="9"/>
        <v>169215.2</v>
      </c>
      <c r="T43" s="387">
        <f t="shared" si="10"/>
        <v>1190.6501547987616</v>
      </c>
      <c r="U43" s="141">
        <f t="shared" si="11"/>
        <v>45174</v>
      </c>
      <c r="V43" s="142"/>
      <c r="W43" s="143"/>
      <c r="X43" s="476"/>
      <c r="Y43" s="135" t="str">
        <f t="shared" si="12"/>
        <v/>
      </c>
      <c r="Z43" s="426" t="str">
        <f t="shared" si="13"/>
        <v/>
      </c>
      <c r="AA43" s="136" t="str">
        <f t="shared" si="14"/>
        <v>x</v>
      </c>
      <c r="AB43" s="185"/>
      <c r="AC43" s="185"/>
      <c r="AD43" s="185"/>
      <c r="AE43" s="185"/>
      <c r="AF43" s="185"/>
    </row>
    <row r="44" spans="1:32" s="115" customFormat="1" ht="16" customHeight="1">
      <c r="A44" s="106">
        <v>44994</v>
      </c>
      <c r="B44" s="109" t="s">
        <v>38</v>
      </c>
      <c r="C44" s="332" t="s">
        <v>54</v>
      </c>
      <c r="D44" s="332" t="s">
        <v>147</v>
      </c>
      <c r="E44" s="142"/>
      <c r="F44" s="109" t="s">
        <v>148</v>
      </c>
      <c r="G44" s="133">
        <f>1179*3</f>
        <v>3537</v>
      </c>
      <c r="H44" s="133"/>
      <c r="I44" s="109"/>
      <c r="J44" s="133"/>
      <c r="K44" s="110"/>
      <c r="L44" s="133"/>
      <c r="M44" s="109"/>
      <c r="N44" s="139"/>
      <c r="O44" s="392"/>
      <c r="P44" s="393" t="s">
        <v>5</v>
      </c>
      <c r="Q44" s="139">
        <v>2623646</v>
      </c>
      <c r="R44" s="392">
        <v>0.2</v>
      </c>
      <c r="S44" s="393">
        <f t="shared" ref="S44:S75" si="15">Q44*R44</f>
        <v>524729.20000000007</v>
      </c>
      <c r="T44" s="387">
        <f t="shared" ref="T44:T75" si="16">Q44/G44</f>
        <v>741.77155781735939</v>
      </c>
      <c r="U44" s="141">
        <f t="shared" ref="U44:U107" si="17">IF(A44="","",(A44+60))</f>
        <v>45054</v>
      </c>
      <c r="V44" s="142">
        <v>45385</v>
      </c>
      <c r="W44" s="143" t="s">
        <v>149</v>
      </c>
      <c r="X44" s="476"/>
      <c r="Y44" s="135" t="str">
        <f t="shared" ref="Y44:Y75" si="18">IF(OR(P44="Ordre",P44="Ferdig"),"x","")</f>
        <v/>
      </c>
      <c r="Z44" s="426" t="str">
        <f t="shared" ref="Z44:Z75" si="19">IF(P44="Ferdig","x","")</f>
        <v/>
      </c>
      <c r="AA44" s="136" t="str">
        <f t="shared" ref="AA44:AA75" si="20">IF(P44="Tapt","x","")</f>
        <v/>
      </c>
      <c r="AB44" s="185"/>
      <c r="AC44" s="185"/>
      <c r="AD44" s="185"/>
      <c r="AE44" s="185"/>
      <c r="AF44" s="185"/>
    </row>
    <row r="45" spans="1:32" s="115" customFormat="1" ht="16" customHeight="1">
      <c r="A45" s="106">
        <v>45071</v>
      </c>
      <c r="B45" s="109" t="s">
        <v>38</v>
      </c>
      <c r="C45" s="107" t="s">
        <v>54</v>
      </c>
      <c r="D45" s="137" t="s">
        <v>150</v>
      </c>
      <c r="E45" s="137"/>
      <c r="F45" s="109" t="s">
        <v>151</v>
      </c>
      <c r="G45" s="133">
        <v>2538</v>
      </c>
      <c r="H45" s="133">
        <v>612</v>
      </c>
      <c r="I45" s="427" t="s">
        <v>152</v>
      </c>
      <c r="J45" s="133"/>
      <c r="K45" s="133"/>
      <c r="L45" s="133"/>
      <c r="M45" s="133"/>
      <c r="N45" s="133"/>
      <c r="O45" s="391"/>
      <c r="P45" s="109" t="s">
        <v>2</v>
      </c>
      <c r="Q45" s="139">
        <v>1943420</v>
      </c>
      <c r="R45" s="392">
        <v>0.22</v>
      </c>
      <c r="S45" s="393">
        <f t="shared" si="15"/>
        <v>427552.4</v>
      </c>
      <c r="T45" s="387">
        <f t="shared" si="16"/>
        <v>765.72892040977149</v>
      </c>
      <c r="U45" s="141">
        <f t="shared" si="17"/>
        <v>45131</v>
      </c>
      <c r="V45" s="142">
        <v>45385</v>
      </c>
      <c r="W45" s="143"/>
      <c r="X45" s="476"/>
      <c r="Y45" s="135" t="str">
        <f t="shared" si="18"/>
        <v/>
      </c>
      <c r="Z45" s="426" t="str">
        <f t="shared" si="19"/>
        <v/>
      </c>
      <c r="AA45" s="136" t="str">
        <f t="shared" si="20"/>
        <v>x</v>
      </c>
      <c r="AB45" s="185"/>
      <c r="AC45" s="185"/>
      <c r="AD45" s="185"/>
      <c r="AE45" s="185"/>
      <c r="AF45" s="185"/>
    </row>
    <row r="46" spans="1:32" s="115" customFormat="1" ht="16" customHeight="1">
      <c r="A46" s="106">
        <v>45001</v>
      </c>
      <c r="B46" s="109" t="s">
        <v>38</v>
      </c>
      <c r="C46" s="107" t="s">
        <v>54</v>
      </c>
      <c r="D46" s="137" t="s">
        <v>153</v>
      </c>
      <c r="E46" s="137"/>
      <c r="F46" s="109" t="s">
        <v>154</v>
      </c>
      <c r="G46" s="133">
        <v>1085</v>
      </c>
      <c r="H46" s="133"/>
      <c r="I46" s="110" t="s">
        <v>155</v>
      </c>
      <c r="J46" s="133"/>
      <c r="K46" s="133"/>
      <c r="L46" s="133"/>
      <c r="M46" s="133"/>
      <c r="N46" s="133"/>
      <c r="O46" s="391"/>
      <c r="P46" s="109" t="s">
        <v>7</v>
      </c>
      <c r="Q46" s="139">
        <v>740000</v>
      </c>
      <c r="R46" s="392">
        <v>0.13</v>
      </c>
      <c r="S46" s="393">
        <f t="shared" si="15"/>
        <v>96200</v>
      </c>
      <c r="T46" s="387">
        <f t="shared" si="16"/>
        <v>682.02764976958531</v>
      </c>
      <c r="U46" s="141">
        <f t="shared" si="17"/>
        <v>45061</v>
      </c>
      <c r="V46" s="144"/>
      <c r="W46" s="143"/>
      <c r="X46" s="476"/>
      <c r="Y46" s="135" t="str">
        <f t="shared" si="18"/>
        <v>x</v>
      </c>
      <c r="Z46" s="426" t="str">
        <f t="shared" si="19"/>
        <v>x</v>
      </c>
      <c r="AA46" s="136" t="str">
        <f t="shared" si="20"/>
        <v/>
      </c>
      <c r="AB46" s="185"/>
      <c r="AC46" s="185"/>
      <c r="AD46" s="185"/>
      <c r="AE46" s="185"/>
      <c r="AF46" s="185"/>
    </row>
    <row r="47" spans="1:32" s="115" customFormat="1" ht="16" customHeight="1">
      <c r="A47" s="106">
        <v>45009</v>
      </c>
      <c r="B47" s="109" t="s">
        <v>38</v>
      </c>
      <c r="C47" s="107" t="s">
        <v>54</v>
      </c>
      <c r="D47" s="137" t="s">
        <v>156</v>
      </c>
      <c r="E47" s="137"/>
      <c r="F47" s="109" t="s">
        <v>157</v>
      </c>
      <c r="G47" s="133">
        <v>385</v>
      </c>
      <c r="H47" s="133"/>
      <c r="I47" s="110" t="s">
        <v>158</v>
      </c>
      <c r="J47" s="133"/>
      <c r="K47" s="133"/>
      <c r="L47" s="133"/>
      <c r="M47" s="133"/>
      <c r="N47" s="133"/>
      <c r="O47" s="391"/>
      <c r="P47" s="109" t="s">
        <v>2</v>
      </c>
      <c r="Q47" s="139">
        <v>319880</v>
      </c>
      <c r="R47" s="392">
        <v>0.2</v>
      </c>
      <c r="S47" s="393">
        <f t="shared" si="15"/>
        <v>63976</v>
      </c>
      <c r="T47" s="387">
        <f t="shared" si="16"/>
        <v>830.85714285714289</v>
      </c>
      <c r="U47" s="141">
        <f t="shared" si="17"/>
        <v>45069</v>
      </c>
      <c r="V47" s="144"/>
      <c r="W47" s="143" t="s">
        <v>159</v>
      </c>
      <c r="X47" s="476"/>
      <c r="Y47" s="135" t="str">
        <f t="shared" si="18"/>
        <v/>
      </c>
      <c r="Z47" s="426" t="str">
        <f t="shared" si="19"/>
        <v/>
      </c>
      <c r="AA47" s="136" t="str">
        <f t="shared" si="20"/>
        <v>x</v>
      </c>
      <c r="AB47" s="185"/>
      <c r="AC47" s="185"/>
      <c r="AD47" s="185"/>
      <c r="AE47" s="185"/>
      <c r="AF47" s="185"/>
    </row>
    <row r="48" spans="1:32" s="115" customFormat="1" ht="16" customHeight="1">
      <c r="A48" s="106">
        <v>45002</v>
      </c>
      <c r="B48" s="109" t="s">
        <v>38</v>
      </c>
      <c r="C48" s="107" t="s">
        <v>85</v>
      </c>
      <c r="D48" s="137" t="s">
        <v>160</v>
      </c>
      <c r="E48" s="137"/>
      <c r="F48" s="109" t="s">
        <v>161</v>
      </c>
      <c r="G48" s="133">
        <v>3027</v>
      </c>
      <c r="H48" s="133">
        <v>618</v>
      </c>
      <c r="I48" s="110" t="s">
        <v>162</v>
      </c>
      <c r="J48" s="110"/>
      <c r="K48" s="133" t="str">
        <f>IF(L48="","",(ROUNDUP(L48+M48,-1)))</f>
        <v/>
      </c>
      <c r="L48" s="133"/>
      <c r="M48" s="133">
        <f>L48*O48</f>
        <v>0</v>
      </c>
      <c r="N48" s="133">
        <f>L48/G48</f>
        <v>0</v>
      </c>
      <c r="O48" s="391"/>
      <c r="P48" s="138" t="s">
        <v>7</v>
      </c>
      <c r="Q48" s="139">
        <v>2099640</v>
      </c>
      <c r="R48" s="392">
        <v>0.1605</v>
      </c>
      <c r="S48" s="393">
        <f t="shared" si="15"/>
        <v>336992.22000000003</v>
      </c>
      <c r="T48" s="387">
        <f t="shared" si="16"/>
        <v>693.63726461843407</v>
      </c>
      <c r="U48" s="141">
        <f t="shared" si="17"/>
        <v>45062</v>
      </c>
      <c r="V48" s="142">
        <v>44995</v>
      </c>
      <c r="W48" s="329" t="s">
        <v>163</v>
      </c>
      <c r="X48" s="476">
        <v>1</v>
      </c>
      <c r="Y48" s="135" t="str">
        <f t="shared" si="18"/>
        <v>x</v>
      </c>
      <c r="Z48" s="426" t="str">
        <f t="shared" si="19"/>
        <v>x</v>
      </c>
      <c r="AA48" s="136" t="str">
        <f t="shared" si="20"/>
        <v/>
      </c>
      <c r="AB48" s="185"/>
      <c r="AC48" s="185"/>
      <c r="AD48" s="185"/>
      <c r="AE48" s="185"/>
      <c r="AF48" s="185"/>
    </row>
    <row r="49" spans="1:32" s="115" customFormat="1" ht="16" customHeight="1">
      <c r="A49" s="106">
        <v>45005</v>
      </c>
      <c r="B49" s="109" t="s">
        <v>38</v>
      </c>
      <c r="C49" s="107" t="s">
        <v>164</v>
      </c>
      <c r="D49" s="137" t="s">
        <v>165</v>
      </c>
      <c r="E49" s="138"/>
      <c r="F49" s="109" t="s">
        <v>166</v>
      </c>
      <c r="G49" s="133">
        <v>8788</v>
      </c>
      <c r="H49" s="133">
        <v>1574</v>
      </c>
      <c r="I49" s="110"/>
      <c r="J49" s="133"/>
      <c r="K49" s="133"/>
      <c r="L49" s="133"/>
      <c r="M49" s="133"/>
      <c r="N49" s="133"/>
      <c r="O49" s="391"/>
      <c r="P49" s="109" t="s">
        <v>43</v>
      </c>
      <c r="Q49" s="139">
        <v>5991650</v>
      </c>
      <c r="R49" s="392">
        <v>0.17810000000000001</v>
      </c>
      <c r="S49" s="393">
        <f t="shared" si="15"/>
        <v>1067112.865</v>
      </c>
      <c r="T49" s="387">
        <f t="shared" si="16"/>
        <v>681.79904415111514</v>
      </c>
      <c r="U49" s="141">
        <f t="shared" si="17"/>
        <v>45065</v>
      </c>
      <c r="V49" s="142">
        <v>45385</v>
      </c>
      <c r="W49" s="143" t="s">
        <v>167</v>
      </c>
      <c r="X49" s="476">
        <v>2</v>
      </c>
      <c r="Y49" s="135" t="str">
        <f t="shared" si="18"/>
        <v/>
      </c>
      <c r="Z49" s="426" t="str">
        <f t="shared" si="19"/>
        <v/>
      </c>
      <c r="AA49" s="136" t="str">
        <f t="shared" si="20"/>
        <v/>
      </c>
      <c r="AB49" s="185"/>
      <c r="AC49" s="185"/>
      <c r="AD49" s="185"/>
      <c r="AE49" s="185"/>
      <c r="AF49" s="185"/>
    </row>
    <row r="50" spans="1:32" s="115" customFormat="1" ht="16" customHeight="1">
      <c r="A50" s="106">
        <v>44979</v>
      </c>
      <c r="B50" s="109" t="s">
        <v>38</v>
      </c>
      <c r="C50" s="107" t="s">
        <v>54</v>
      </c>
      <c r="D50" s="137" t="s">
        <v>168</v>
      </c>
      <c r="E50" s="137"/>
      <c r="F50" s="109" t="s">
        <v>169</v>
      </c>
      <c r="G50" s="133">
        <v>98</v>
      </c>
      <c r="H50" s="133"/>
      <c r="I50" s="110" t="s">
        <v>170</v>
      </c>
      <c r="J50" s="133"/>
      <c r="K50" s="133"/>
      <c r="L50" s="133"/>
      <c r="M50" s="133"/>
      <c r="N50" s="133"/>
      <c r="O50" s="391"/>
      <c r="P50" s="109" t="s">
        <v>7</v>
      </c>
      <c r="Q50" s="139">
        <v>114620</v>
      </c>
      <c r="R50" s="392">
        <v>0.2</v>
      </c>
      <c r="S50" s="393">
        <f t="shared" si="15"/>
        <v>22924</v>
      </c>
      <c r="T50" s="387">
        <f t="shared" si="16"/>
        <v>1169.591836734694</v>
      </c>
      <c r="U50" s="141">
        <f t="shared" si="17"/>
        <v>45039</v>
      </c>
      <c r="V50" s="144"/>
      <c r="W50" s="143"/>
      <c r="X50" s="476"/>
      <c r="Y50" s="135" t="str">
        <f t="shared" si="18"/>
        <v>x</v>
      </c>
      <c r="Z50" s="426" t="str">
        <f t="shared" si="19"/>
        <v>x</v>
      </c>
      <c r="AA50" s="136" t="str">
        <f t="shared" si="20"/>
        <v/>
      </c>
      <c r="AB50" s="185"/>
      <c r="AC50" s="185"/>
      <c r="AD50" s="185"/>
      <c r="AE50" s="185"/>
      <c r="AF50" s="185"/>
    </row>
    <row r="51" spans="1:32" s="115" customFormat="1" ht="16" customHeight="1">
      <c r="A51" s="106">
        <v>45187</v>
      </c>
      <c r="B51" s="109" t="s">
        <v>38</v>
      </c>
      <c r="C51" s="107" t="s">
        <v>171</v>
      </c>
      <c r="D51" s="137" t="s">
        <v>172</v>
      </c>
      <c r="E51" s="137"/>
      <c r="F51" s="109" t="s">
        <v>173</v>
      </c>
      <c r="G51" s="133">
        <v>4543</v>
      </c>
      <c r="H51" s="133">
        <v>1025</v>
      </c>
      <c r="I51" s="110"/>
      <c r="J51" s="133"/>
      <c r="K51" s="133"/>
      <c r="L51" s="133"/>
      <c r="M51" s="133"/>
      <c r="N51" s="133"/>
      <c r="O51" s="391"/>
      <c r="P51" s="109" t="s">
        <v>7</v>
      </c>
      <c r="Q51" s="139">
        <v>3128200</v>
      </c>
      <c r="R51" s="392">
        <v>0.13500000000000001</v>
      </c>
      <c r="S51" s="393">
        <f t="shared" si="15"/>
        <v>422307</v>
      </c>
      <c r="T51" s="387">
        <f t="shared" si="16"/>
        <v>688.57583094871234</v>
      </c>
      <c r="U51" s="141">
        <f t="shared" si="17"/>
        <v>45247</v>
      </c>
      <c r="V51" s="144"/>
      <c r="W51" s="143" t="s">
        <v>174</v>
      </c>
      <c r="X51" s="476"/>
      <c r="Y51" s="135" t="str">
        <f t="shared" si="18"/>
        <v>x</v>
      </c>
      <c r="Z51" s="426" t="str">
        <f t="shared" si="19"/>
        <v>x</v>
      </c>
      <c r="AA51" s="136" t="str">
        <f t="shared" si="20"/>
        <v/>
      </c>
      <c r="AB51" s="185"/>
      <c r="AC51" s="185"/>
      <c r="AD51" s="185"/>
      <c r="AE51" s="185"/>
      <c r="AF51" s="185"/>
    </row>
    <row r="52" spans="1:32" s="115" customFormat="1" ht="16" customHeight="1">
      <c r="A52" s="106">
        <v>45015</v>
      </c>
      <c r="B52" s="109" t="s">
        <v>38</v>
      </c>
      <c r="C52" s="107" t="s">
        <v>54</v>
      </c>
      <c r="D52" s="137" t="s">
        <v>175</v>
      </c>
      <c r="E52" s="137"/>
      <c r="F52" s="109" t="s">
        <v>41</v>
      </c>
      <c r="G52" s="133">
        <v>1267</v>
      </c>
      <c r="H52" s="133"/>
      <c r="I52" s="110"/>
      <c r="J52" s="133"/>
      <c r="K52" s="133"/>
      <c r="L52" s="133"/>
      <c r="M52" s="133"/>
      <c r="N52" s="133"/>
      <c r="O52" s="391"/>
      <c r="P52" s="109" t="s">
        <v>7</v>
      </c>
      <c r="Q52" s="139">
        <v>1240215</v>
      </c>
      <c r="R52" s="392">
        <v>0.18779999999999999</v>
      </c>
      <c r="S52" s="393">
        <f t="shared" si="15"/>
        <v>232912.37700000001</v>
      </c>
      <c r="T52" s="387">
        <f t="shared" si="16"/>
        <v>978.85951065509073</v>
      </c>
      <c r="U52" s="141">
        <f t="shared" si="17"/>
        <v>45075</v>
      </c>
      <c r="V52" s="144"/>
      <c r="W52" s="143" t="s">
        <v>176</v>
      </c>
      <c r="X52" s="476"/>
      <c r="Y52" s="135" t="str">
        <f t="shared" si="18"/>
        <v>x</v>
      </c>
      <c r="Z52" s="426" t="str">
        <f t="shared" si="19"/>
        <v>x</v>
      </c>
      <c r="AA52" s="136" t="str">
        <f t="shared" si="20"/>
        <v/>
      </c>
      <c r="AB52" s="185"/>
      <c r="AC52" s="185"/>
      <c r="AD52" s="185"/>
      <c r="AE52" s="185"/>
      <c r="AF52" s="185"/>
    </row>
    <row r="53" spans="1:32" s="115" customFormat="1" ht="16" customHeight="1">
      <c r="A53" s="106">
        <v>45687</v>
      </c>
      <c r="B53" s="109" t="s">
        <v>38</v>
      </c>
      <c r="C53" s="107" t="s">
        <v>54</v>
      </c>
      <c r="D53" s="137" t="s">
        <v>177</v>
      </c>
      <c r="E53" s="138"/>
      <c r="F53" s="109" t="s">
        <v>41</v>
      </c>
      <c r="G53" s="133">
        <v>900</v>
      </c>
      <c r="H53" s="133">
        <f>206-26</f>
        <v>180</v>
      </c>
      <c r="I53" s="110"/>
      <c r="J53" s="133"/>
      <c r="K53" s="133"/>
      <c r="L53" s="133"/>
      <c r="M53" s="133"/>
      <c r="N53" s="133"/>
      <c r="O53" s="391"/>
      <c r="P53" s="109" t="s">
        <v>80</v>
      </c>
      <c r="Q53" s="139">
        <v>588480</v>
      </c>
      <c r="R53" s="392">
        <v>0.16</v>
      </c>
      <c r="S53" s="393">
        <f t="shared" si="15"/>
        <v>94156.800000000003</v>
      </c>
      <c r="T53" s="387">
        <f t="shared" si="16"/>
        <v>653.86666666666667</v>
      </c>
      <c r="U53" s="141">
        <f t="shared" si="17"/>
        <v>45747</v>
      </c>
      <c r="V53" s="142">
        <v>45385</v>
      </c>
      <c r="W53" s="143" t="s">
        <v>123</v>
      </c>
      <c r="X53" s="476"/>
      <c r="Y53" s="135" t="str">
        <f t="shared" si="18"/>
        <v/>
      </c>
      <c r="Z53" s="426" t="str">
        <f t="shared" si="19"/>
        <v/>
      </c>
      <c r="AA53" s="136" t="str">
        <f t="shared" si="20"/>
        <v/>
      </c>
      <c r="AB53" s="185"/>
      <c r="AC53" s="185"/>
      <c r="AD53" s="185"/>
      <c r="AE53" s="185"/>
      <c r="AF53" s="185"/>
    </row>
    <row r="54" spans="1:32" s="115" customFormat="1" ht="16" customHeight="1">
      <c r="A54" s="106">
        <v>45028</v>
      </c>
      <c r="B54" s="109" t="s">
        <v>38</v>
      </c>
      <c r="C54" s="107" t="s">
        <v>54</v>
      </c>
      <c r="D54" s="137" t="s">
        <v>178</v>
      </c>
      <c r="E54" s="137"/>
      <c r="F54" s="109" t="s">
        <v>77</v>
      </c>
      <c r="G54" s="133">
        <v>5340</v>
      </c>
      <c r="H54" s="133"/>
      <c r="I54" s="110"/>
      <c r="J54" s="133"/>
      <c r="K54" s="133"/>
      <c r="L54" s="133"/>
      <c r="M54" s="133"/>
      <c r="N54" s="133"/>
      <c r="O54" s="391"/>
      <c r="P54" s="109" t="s">
        <v>2</v>
      </c>
      <c r="Q54" s="139">
        <v>3302850</v>
      </c>
      <c r="R54" s="392">
        <v>0.19</v>
      </c>
      <c r="S54" s="393">
        <f t="shared" si="15"/>
        <v>627541.5</v>
      </c>
      <c r="T54" s="387">
        <f t="shared" si="16"/>
        <v>618.51123595505624</v>
      </c>
      <c r="U54" s="141">
        <f t="shared" si="17"/>
        <v>45088</v>
      </c>
      <c r="V54" s="142">
        <v>45385</v>
      </c>
      <c r="W54" s="143" t="s">
        <v>179</v>
      </c>
      <c r="X54" s="476"/>
      <c r="Y54" s="135" t="str">
        <f t="shared" si="18"/>
        <v/>
      </c>
      <c r="Z54" s="426" t="str">
        <f t="shared" si="19"/>
        <v/>
      </c>
      <c r="AA54" s="136" t="str">
        <f t="shared" si="20"/>
        <v>x</v>
      </c>
      <c r="AB54" s="185"/>
      <c r="AC54" s="185"/>
      <c r="AD54" s="185"/>
      <c r="AE54" s="185"/>
      <c r="AF54" s="185"/>
    </row>
    <row r="55" spans="1:32" s="115" customFormat="1" ht="16" customHeight="1">
      <c r="A55" s="106">
        <v>45028</v>
      </c>
      <c r="B55" s="109" t="s">
        <v>38</v>
      </c>
      <c r="C55" s="107" t="s">
        <v>54</v>
      </c>
      <c r="D55" s="137" t="s">
        <v>180</v>
      </c>
      <c r="E55" s="137"/>
      <c r="F55" s="109" t="s">
        <v>126</v>
      </c>
      <c r="G55" s="133">
        <v>5928</v>
      </c>
      <c r="H55" s="133"/>
      <c r="I55" s="110"/>
      <c r="J55" s="133"/>
      <c r="K55" s="133"/>
      <c r="L55" s="133"/>
      <c r="M55" s="133"/>
      <c r="N55" s="133"/>
      <c r="O55" s="391"/>
      <c r="P55" s="109" t="s">
        <v>2</v>
      </c>
      <c r="Q55" s="139">
        <v>3699360</v>
      </c>
      <c r="R55" s="392">
        <v>0.16</v>
      </c>
      <c r="S55" s="393">
        <f t="shared" si="15"/>
        <v>591897.59999999998</v>
      </c>
      <c r="T55" s="387">
        <f t="shared" si="16"/>
        <v>624.04858299595139</v>
      </c>
      <c r="U55" s="141">
        <f t="shared" si="17"/>
        <v>45088</v>
      </c>
      <c r="V55" s="144"/>
      <c r="W55" s="143" t="s">
        <v>181</v>
      </c>
      <c r="X55" s="476"/>
      <c r="Y55" s="135" t="str">
        <f t="shared" si="18"/>
        <v/>
      </c>
      <c r="Z55" s="426" t="str">
        <f t="shared" si="19"/>
        <v/>
      </c>
      <c r="AA55" s="136" t="str">
        <f t="shared" si="20"/>
        <v>x</v>
      </c>
      <c r="AB55" s="185"/>
      <c r="AC55" s="185"/>
      <c r="AD55" s="185"/>
      <c r="AE55" s="185"/>
      <c r="AF55" s="185"/>
    </row>
    <row r="56" spans="1:32" s="115" customFormat="1" ht="16" customHeight="1">
      <c r="A56" s="106">
        <v>45033</v>
      </c>
      <c r="B56" s="109" t="s">
        <v>38</v>
      </c>
      <c r="C56" s="107" t="s">
        <v>59</v>
      </c>
      <c r="D56" s="137" t="s">
        <v>182</v>
      </c>
      <c r="E56" s="137"/>
      <c r="F56" s="109" t="s">
        <v>183</v>
      </c>
      <c r="G56" s="133">
        <v>217</v>
      </c>
      <c r="H56" s="133"/>
      <c r="I56" s="110"/>
      <c r="J56" s="133"/>
      <c r="K56" s="133"/>
      <c r="L56" s="133"/>
      <c r="M56" s="133"/>
      <c r="N56" s="133"/>
      <c r="O56" s="391"/>
      <c r="P56" s="109" t="s">
        <v>7</v>
      </c>
      <c r="Q56" s="139">
        <v>228370</v>
      </c>
      <c r="R56" s="392">
        <v>0.23</v>
      </c>
      <c r="S56" s="393">
        <f t="shared" si="15"/>
        <v>52525.100000000006</v>
      </c>
      <c r="T56" s="387">
        <f t="shared" si="16"/>
        <v>1052.3963133640552</v>
      </c>
      <c r="U56" s="141">
        <f t="shared" si="17"/>
        <v>45093</v>
      </c>
      <c r="V56" s="144"/>
      <c r="W56" s="143"/>
      <c r="X56" s="476"/>
      <c r="Y56" s="135" t="str">
        <f t="shared" si="18"/>
        <v>x</v>
      </c>
      <c r="Z56" s="426" t="str">
        <f t="shared" si="19"/>
        <v>x</v>
      </c>
      <c r="AA56" s="136" t="str">
        <f t="shared" si="20"/>
        <v/>
      </c>
      <c r="AB56" s="185"/>
      <c r="AC56" s="185"/>
      <c r="AD56" s="185"/>
      <c r="AE56" s="185"/>
      <c r="AF56" s="185"/>
    </row>
    <row r="57" spans="1:32" s="115" customFormat="1" ht="16" customHeight="1">
      <c r="A57" s="106">
        <v>45071</v>
      </c>
      <c r="B57" s="109" t="s">
        <v>38</v>
      </c>
      <c r="C57" s="107" t="s">
        <v>54</v>
      </c>
      <c r="D57" s="137" t="s">
        <v>184</v>
      </c>
      <c r="E57" s="137"/>
      <c r="F57" s="109" t="s">
        <v>185</v>
      </c>
      <c r="G57" s="133">
        <v>2080</v>
      </c>
      <c r="H57" s="133">
        <v>460</v>
      </c>
      <c r="I57" s="110"/>
      <c r="J57" s="133"/>
      <c r="K57" s="133"/>
      <c r="L57" s="133"/>
      <c r="M57" s="133"/>
      <c r="N57" s="133"/>
      <c r="O57" s="391"/>
      <c r="P57" s="109" t="s">
        <v>7</v>
      </c>
      <c r="Q57" s="139">
        <v>1706270</v>
      </c>
      <c r="R57" s="392">
        <v>0.18</v>
      </c>
      <c r="S57" s="393">
        <f t="shared" si="15"/>
        <v>307128.59999999998</v>
      </c>
      <c r="T57" s="387">
        <f t="shared" si="16"/>
        <v>820.32211538461536</v>
      </c>
      <c r="U57" s="141">
        <f t="shared" si="17"/>
        <v>45131</v>
      </c>
      <c r="V57" s="144"/>
      <c r="W57" s="143"/>
      <c r="X57" s="476"/>
      <c r="Y57" s="135" t="str">
        <f t="shared" si="18"/>
        <v>x</v>
      </c>
      <c r="Z57" s="426" t="str">
        <f t="shared" si="19"/>
        <v>x</v>
      </c>
      <c r="AA57" s="136" t="str">
        <f t="shared" si="20"/>
        <v/>
      </c>
      <c r="AB57" s="185"/>
      <c r="AC57" s="185"/>
      <c r="AD57" s="185"/>
      <c r="AE57" s="185"/>
      <c r="AF57" s="185"/>
    </row>
    <row r="58" spans="1:32" s="115" customFormat="1" ht="16" customHeight="1">
      <c r="A58" s="106">
        <v>45089</v>
      </c>
      <c r="B58" s="109" t="s">
        <v>38</v>
      </c>
      <c r="C58" s="353" t="s">
        <v>186</v>
      </c>
      <c r="D58" s="107" t="s">
        <v>187</v>
      </c>
      <c r="E58" s="107"/>
      <c r="F58" s="109" t="s">
        <v>65</v>
      </c>
      <c r="G58" s="133">
        <v>2387</v>
      </c>
      <c r="H58" s="133">
        <v>615</v>
      </c>
      <c r="I58" s="110"/>
      <c r="J58" s="133"/>
      <c r="K58" s="133"/>
      <c r="L58" s="133"/>
      <c r="M58" s="133"/>
      <c r="N58" s="133"/>
      <c r="O58" s="391"/>
      <c r="P58" s="109" t="s">
        <v>2</v>
      </c>
      <c r="Q58" s="139">
        <v>1903425</v>
      </c>
      <c r="R58" s="392">
        <v>0.2</v>
      </c>
      <c r="S58" s="393">
        <f t="shared" si="15"/>
        <v>380685</v>
      </c>
      <c r="T58" s="387">
        <f t="shared" si="16"/>
        <v>797.41307080016759</v>
      </c>
      <c r="U58" s="141">
        <f t="shared" si="17"/>
        <v>45149</v>
      </c>
      <c r="V58" s="142">
        <v>45385</v>
      </c>
      <c r="W58" s="143" t="s">
        <v>188</v>
      </c>
      <c r="X58" s="476">
        <v>5</v>
      </c>
      <c r="Y58" s="135" t="str">
        <f t="shared" si="18"/>
        <v/>
      </c>
      <c r="Z58" s="426" t="str">
        <f t="shared" si="19"/>
        <v/>
      </c>
      <c r="AA58" s="136" t="str">
        <f t="shared" si="20"/>
        <v>x</v>
      </c>
      <c r="AB58" s="185"/>
      <c r="AC58" s="185"/>
      <c r="AD58" s="185"/>
      <c r="AE58" s="185"/>
      <c r="AF58" s="185"/>
    </row>
    <row r="59" spans="1:32" s="115" customFormat="1" ht="16" customHeight="1">
      <c r="A59" s="106">
        <v>45043</v>
      </c>
      <c r="B59" s="109" t="s">
        <v>38</v>
      </c>
      <c r="C59" s="107" t="s">
        <v>54</v>
      </c>
      <c r="D59" s="137" t="s">
        <v>189</v>
      </c>
      <c r="E59" s="138"/>
      <c r="F59" s="109" t="s">
        <v>169</v>
      </c>
      <c r="G59" s="133">
        <v>1020</v>
      </c>
      <c r="H59" s="133">
        <v>299</v>
      </c>
      <c r="I59" s="110"/>
      <c r="J59" s="133"/>
      <c r="K59" s="133"/>
      <c r="L59" s="133"/>
      <c r="M59" s="133"/>
      <c r="N59" s="133"/>
      <c r="O59" s="391"/>
      <c r="P59" s="109" t="s">
        <v>5</v>
      </c>
      <c r="Q59" s="139">
        <v>791370</v>
      </c>
      <c r="R59" s="392">
        <v>0.2</v>
      </c>
      <c r="S59" s="393">
        <f t="shared" si="15"/>
        <v>158274</v>
      </c>
      <c r="T59" s="387">
        <f t="shared" si="16"/>
        <v>775.85294117647061</v>
      </c>
      <c r="U59" s="141">
        <f t="shared" si="17"/>
        <v>45103</v>
      </c>
      <c r="V59" s="142">
        <v>45385</v>
      </c>
      <c r="W59" s="143"/>
      <c r="X59" s="476"/>
      <c r="Y59" s="135" t="str">
        <f t="shared" si="18"/>
        <v/>
      </c>
      <c r="Z59" s="426" t="str">
        <f t="shared" si="19"/>
        <v/>
      </c>
      <c r="AA59" s="136" t="str">
        <f t="shared" si="20"/>
        <v/>
      </c>
      <c r="AB59" s="185"/>
      <c r="AC59" s="185"/>
      <c r="AD59" s="185"/>
      <c r="AE59" s="185"/>
      <c r="AF59" s="185"/>
    </row>
    <row r="60" spans="1:32" s="115" customFormat="1" ht="16" customHeight="1">
      <c r="A60" s="106">
        <v>45056</v>
      </c>
      <c r="B60" s="109" t="s">
        <v>38</v>
      </c>
      <c r="C60" s="107" t="s">
        <v>54</v>
      </c>
      <c r="D60" s="137" t="s">
        <v>190</v>
      </c>
      <c r="E60" s="137"/>
      <c r="F60" s="109" t="s">
        <v>191</v>
      </c>
      <c r="G60" s="133">
        <v>2518</v>
      </c>
      <c r="H60" s="133">
        <v>570</v>
      </c>
      <c r="I60" s="110"/>
      <c r="J60" s="133"/>
      <c r="K60" s="133"/>
      <c r="L60" s="133"/>
      <c r="M60" s="133"/>
      <c r="N60" s="133"/>
      <c r="O60" s="391"/>
      <c r="P60" s="109" t="s">
        <v>7</v>
      </c>
      <c r="Q60" s="139">
        <v>1550000</v>
      </c>
      <c r="R60" s="392">
        <v>0.16600000000000001</v>
      </c>
      <c r="S60" s="393">
        <f t="shared" si="15"/>
        <v>257300</v>
      </c>
      <c r="T60" s="387">
        <f t="shared" si="16"/>
        <v>615.56791104050831</v>
      </c>
      <c r="U60" s="141">
        <f t="shared" si="17"/>
        <v>45116</v>
      </c>
      <c r="V60" s="144"/>
      <c r="W60" s="143" t="s">
        <v>192</v>
      </c>
      <c r="X60" s="476"/>
      <c r="Y60" s="135" t="str">
        <f t="shared" si="18"/>
        <v>x</v>
      </c>
      <c r="Z60" s="426" t="str">
        <f t="shared" si="19"/>
        <v>x</v>
      </c>
      <c r="AA60" s="136" t="str">
        <f t="shared" si="20"/>
        <v/>
      </c>
      <c r="AB60" s="185"/>
      <c r="AC60" s="185"/>
      <c r="AD60" s="185"/>
      <c r="AE60" s="185"/>
      <c r="AF60" s="185"/>
    </row>
    <row r="61" spans="1:32" s="115" customFormat="1" ht="16" customHeight="1">
      <c r="A61" s="106">
        <v>45086</v>
      </c>
      <c r="B61" s="109" t="s">
        <v>38</v>
      </c>
      <c r="C61" s="107" t="s">
        <v>186</v>
      </c>
      <c r="D61" s="137" t="s">
        <v>193</v>
      </c>
      <c r="E61" s="138"/>
      <c r="F61" s="109" t="s">
        <v>194</v>
      </c>
      <c r="G61" s="133">
        <v>8128</v>
      </c>
      <c r="H61" s="133">
        <v>1886</v>
      </c>
      <c r="I61" s="110" t="s">
        <v>195</v>
      </c>
      <c r="J61" s="133"/>
      <c r="K61" s="133"/>
      <c r="L61" s="133"/>
      <c r="M61" s="133"/>
      <c r="N61" s="133"/>
      <c r="O61" s="391"/>
      <c r="P61" s="109" t="s">
        <v>7</v>
      </c>
      <c r="Q61" s="139">
        <v>5965260</v>
      </c>
      <c r="R61" s="392">
        <v>0.19</v>
      </c>
      <c r="S61" s="393">
        <f t="shared" si="15"/>
        <v>1133399.3999999999</v>
      </c>
      <c r="T61" s="387">
        <f t="shared" si="16"/>
        <v>733.91486220472439</v>
      </c>
      <c r="U61" s="141">
        <f t="shared" si="17"/>
        <v>45146</v>
      </c>
      <c r="V61" s="144"/>
      <c r="W61" s="143"/>
      <c r="X61" s="476"/>
      <c r="Y61" s="135" t="str">
        <f t="shared" si="18"/>
        <v>x</v>
      </c>
      <c r="Z61" s="426" t="str">
        <f t="shared" si="19"/>
        <v>x</v>
      </c>
      <c r="AA61" s="136" t="str">
        <f t="shared" si="20"/>
        <v/>
      </c>
      <c r="AB61" s="185"/>
      <c r="AC61" s="185"/>
      <c r="AD61" s="185"/>
      <c r="AE61" s="185"/>
      <c r="AF61" s="185"/>
    </row>
    <row r="62" spans="1:32" s="115" customFormat="1" ht="16" customHeight="1">
      <c r="A62" s="106">
        <v>45044</v>
      </c>
      <c r="B62" s="109" t="s">
        <v>38</v>
      </c>
      <c r="C62" s="107" t="s">
        <v>186</v>
      </c>
      <c r="D62" s="137" t="s">
        <v>196</v>
      </c>
      <c r="E62" s="138"/>
      <c r="F62" s="109" t="s">
        <v>197</v>
      </c>
      <c r="G62" s="133">
        <v>4367</v>
      </c>
      <c r="H62" s="133">
        <v>978</v>
      </c>
      <c r="I62" s="110"/>
      <c r="J62" s="133"/>
      <c r="K62" s="133"/>
      <c r="L62" s="133"/>
      <c r="M62" s="133"/>
      <c r="N62" s="133"/>
      <c r="O62" s="391"/>
      <c r="P62" s="109" t="s">
        <v>7</v>
      </c>
      <c r="Q62" s="139">
        <v>3049390</v>
      </c>
      <c r="R62" s="392">
        <v>0.2</v>
      </c>
      <c r="S62" s="393">
        <f t="shared" si="15"/>
        <v>609878</v>
      </c>
      <c r="T62" s="387">
        <f t="shared" si="16"/>
        <v>698.28028394779028</v>
      </c>
      <c r="U62" s="141">
        <f t="shared" si="17"/>
        <v>45104</v>
      </c>
      <c r="V62" s="144"/>
      <c r="W62" s="143"/>
      <c r="X62" s="476"/>
      <c r="Y62" s="135" t="str">
        <f t="shared" si="18"/>
        <v>x</v>
      </c>
      <c r="Z62" s="426" t="str">
        <f t="shared" si="19"/>
        <v>x</v>
      </c>
      <c r="AA62" s="136" t="str">
        <f t="shared" si="20"/>
        <v/>
      </c>
      <c r="AB62" s="185"/>
      <c r="AC62" s="185"/>
      <c r="AD62" s="185"/>
      <c r="AE62" s="185"/>
      <c r="AF62" s="185"/>
    </row>
    <row r="63" spans="1:32" s="115" customFormat="1" ht="16" customHeight="1">
      <c r="A63" s="106">
        <v>45058</v>
      </c>
      <c r="B63" s="109" t="s">
        <v>38</v>
      </c>
      <c r="C63" s="353" t="s">
        <v>171</v>
      </c>
      <c r="D63" s="107" t="s">
        <v>198</v>
      </c>
      <c r="E63" s="107"/>
      <c r="F63" s="109" t="s">
        <v>199</v>
      </c>
      <c r="G63" s="133">
        <v>4668</v>
      </c>
      <c r="H63" s="133">
        <v>1006</v>
      </c>
      <c r="I63" s="110"/>
      <c r="J63" s="133"/>
      <c r="K63" s="133"/>
      <c r="L63" s="133"/>
      <c r="M63" s="133"/>
      <c r="N63" s="133"/>
      <c r="O63" s="391"/>
      <c r="P63" s="109" t="s">
        <v>2</v>
      </c>
      <c r="Q63" s="139">
        <v>3436590</v>
      </c>
      <c r="R63" s="392">
        <v>0.2</v>
      </c>
      <c r="S63" s="393">
        <f t="shared" si="15"/>
        <v>687318</v>
      </c>
      <c r="T63" s="387">
        <f t="shared" si="16"/>
        <v>736.20179948586122</v>
      </c>
      <c r="U63" s="141">
        <f t="shared" si="17"/>
        <v>45118</v>
      </c>
      <c r="V63" s="142">
        <v>45385</v>
      </c>
      <c r="W63" s="143" t="s">
        <v>200</v>
      </c>
      <c r="X63" s="476"/>
      <c r="Y63" s="135" t="str">
        <f t="shared" si="18"/>
        <v/>
      </c>
      <c r="Z63" s="426" t="str">
        <f t="shared" si="19"/>
        <v/>
      </c>
      <c r="AA63" s="136" t="str">
        <f t="shared" si="20"/>
        <v>x</v>
      </c>
      <c r="AB63" s="185"/>
      <c r="AC63" s="185"/>
      <c r="AD63" s="185"/>
      <c r="AE63" s="185"/>
      <c r="AF63" s="185"/>
    </row>
    <row r="64" spans="1:32" s="115" customFormat="1" ht="16" customHeight="1">
      <c r="A64" s="106">
        <v>45058</v>
      </c>
      <c r="B64" s="109" t="s">
        <v>38</v>
      </c>
      <c r="C64" s="353" t="s">
        <v>54</v>
      </c>
      <c r="D64" s="107" t="s">
        <v>201</v>
      </c>
      <c r="E64" s="107"/>
      <c r="F64" s="109" t="s">
        <v>41</v>
      </c>
      <c r="G64" s="133">
        <v>1822</v>
      </c>
      <c r="H64" s="133">
        <v>396</v>
      </c>
      <c r="I64" s="110"/>
      <c r="J64" s="133"/>
      <c r="K64" s="133"/>
      <c r="L64" s="133"/>
      <c r="M64" s="133"/>
      <c r="N64" s="133"/>
      <c r="O64" s="391"/>
      <c r="P64" s="109" t="s">
        <v>7</v>
      </c>
      <c r="Q64" s="139">
        <v>1236400</v>
      </c>
      <c r="R64" s="392">
        <v>0.2</v>
      </c>
      <c r="S64" s="393">
        <f t="shared" si="15"/>
        <v>247280</v>
      </c>
      <c r="T64" s="387">
        <f t="shared" si="16"/>
        <v>678.59495060373217</v>
      </c>
      <c r="U64" s="141">
        <f t="shared" si="17"/>
        <v>45118</v>
      </c>
      <c r="V64" s="144"/>
      <c r="W64" s="143"/>
      <c r="X64" s="476"/>
      <c r="Y64" s="135" t="str">
        <f t="shared" si="18"/>
        <v>x</v>
      </c>
      <c r="Z64" s="426" t="str">
        <f t="shared" si="19"/>
        <v>x</v>
      </c>
      <c r="AA64" s="136" t="str">
        <f t="shared" si="20"/>
        <v/>
      </c>
      <c r="AB64" s="185"/>
      <c r="AC64" s="185"/>
      <c r="AD64" s="185"/>
      <c r="AE64" s="185"/>
      <c r="AF64" s="185"/>
    </row>
    <row r="65" spans="1:32" s="115" customFormat="1" ht="16" customHeight="1">
      <c r="A65" s="106">
        <v>45069</v>
      </c>
      <c r="B65" s="109" t="s">
        <v>38</v>
      </c>
      <c r="C65" s="107" t="s">
        <v>186</v>
      </c>
      <c r="D65" s="107" t="s">
        <v>202</v>
      </c>
      <c r="E65" s="109"/>
      <c r="F65" s="109" t="s">
        <v>203</v>
      </c>
      <c r="G65" s="133">
        <v>9966</v>
      </c>
      <c r="H65" s="133">
        <v>2256</v>
      </c>
      <c r="I65" s="110"/>
      <c r="J65" s="133"/>
      <c r="K65" s="133"/>
      <c r="L65" s="133"/>
      <c r="M65" s="133"/>
      <c r="N65" s="133"/>
      <c r="O65" s="391"/>
      <c r="P65" s="109" t="s">
        <v>5</v>
      </c>
      <c r="Q65" s="139">
        <v>6750210</v>
      </c>
      <c r="R65" s="392">
        <v>0.2</v>
      </c>
      <c r="S65" s="393">
        <f t="shared" si="15"/>
        <v>1350042</v>
      </c>
      <c r="T65" s="387">
        <f t="shared" si="16"/>
        <v>677.32390126429857</v>
      </c>
      <c r="U65" s="141">
        <f t="shared" si="17"/>
        <v>45129</v>
      </c>
      <c r="V65" s="142">
        <v>45385</v>
      </c>
      <c r="W65" s="143"/>
      <c r="X65" s="476">
        <v>2</v>
      </c>
      <c r="Y65" s="135" t="str">
        <f t="shared" si="18"/>
        <v/>
      </c>
      <c r="Z65" s="426" t="str">
        <f t="shared" si="19"/>
        <v/>
      </c>
      <c r="AA65" s="136" t="str">
        <f t="shared" si="20"/>
        <v/>
      </c>
      <c r="AB65" s="185"/>
      <c r="AC65" s="185"/>
      <c r="AD65" s="185"/>
      <c r="AE65" s="185"/>
      <c r="AF65" s="185"/>
    </row>
    <row r="66" spans="1:32" s="115" customFormat="1" ht="16" customHeight="1">
      <c r="A66" s="106">
        <v>45092</v>
      </c>
      <c r="B66" s="109" t="s">
        <v>38</v>
      </c>
      <c r="C66" s="353" t="s">
        <v>54</v>
      </c>
      <c r="D66" s="107" t="s">
        <v>204</v>
      </c>
      <c r="E66" s="107"/>
      <c r="F66" s="109" t="s">
        <v>41</v>
      </c>
      <c r="G66" s="133">
        <v>2867</v>
      </c>
      <c r="H66" s="133">
        <v>1019</v>
      </c>
      <c r="I66" s="110"/>
      <c r="J66" s="133"/>
      <c r="K66" s="133"/>
      <c r="L66" s="133"/>
      <c r="M66" s="133"/>
      <c r="N66" s="133"/>
      <c r="O66" s="391"/>
      <c r="P66" s="109" t="s">
        <v>2</v>
      </c>
      <c r="Q66" s="139">
        <v>2254780</v>
      </c>
      <c r="R66" s="392">
        <v>0.2074</v>
      </c>
      <c r="S66" s="393">
        <f t="shared" si="15"/>
        <v>467641.37199999997</v>
      </c>
      <c r="T66" s="387">
        <f t="shared" si="16"/>
        <v>786.45971398674578</v>
      </c>
      <c r="U66" s="141">
        <f t="shared" si="17"/>
        <v>45152</v>
      </c>
      <c r="V66" s="144"/>
      <c r="W66" s="143"/>
      <c r="X66" s="476"/>
      <c r="Y66" s="135" t="str">
        <f t="shared" si="18"/>
        <v/>
      </c>
      <c r="Z66" s="426" t="str">
        <f t="shared" si="19"/>
        <v/>
      </c>
      <c r="AA66" s="136" t="str">
        <f t="shared" si="20"/>
        <v>x</v>
      </c>
      <c r="AB66" s="185"/>
      <c r="AC66" s="185"/>
      <c r="AD66" s="185"/>
      <c r="AE66" s="185"/>
      <c r="AF66" s="185"/>
    </row>
    <row r="67" spans="1:32" s="115" customFormat="1" ht="16" customHeight="1">
      <c r="A67" s="106">
        <v>45083</v>
      </c>
      <c r="B67" s="109" t="s">
        <v>38</v>
      </c>
      <c r="C67" s="107" t="s">
        <v>54</v>
      </c>
      <c r="D67" s="137" t="s">
        <v>205</v>
      </c>
      <c r="E67" s="137"/>
      <c r="F67" s="109" t="s">
        <v>206</v>
      </c>
      <c r="G67" s="133">
        <v>795</v>
      </c>
      <c r="H67" s="133">
        <v>259</v>
      </c>
      <c r="I67" s="110"/>
      <c r="J67" s="133"/>
      <c r="K67" s="133"/>
      <c r="L67" s="133"/>
      <c r="M67" s="133"/>
      <c r="N67" s="133"/>
      <c r="O67" s="391"/>
      <c r="P67" s="109" t="s">
        <v>2</v>
      </c>
      <c r="Q67" s="139">
        <v>664480</v>
      </c>
      <c r="R67" s="392">
        <v>0.2</v>
      </c>
      <c r="S67" s="393">
        <f t="shared" si="15"/>
        <v>132896</v>
      </c>
      <c r="T67" s="387">
        <f t="shared" si="16"/>
        <v>835.82389937106916</v>
      </c>
      <c r="U67" s="141">
        <f t="shared" si="17"/>
        <v>45143</v>
      </c>
      <c r="V67" s="142">
        <v>45385</v>
      </c>
      <c r="W67" s="143"/>
      <c r="X67" s="476"/>
      <c r="Y67" s="135" t="str">
        <f t="shared" si="18"/>
        <v/>
      </c>
      <c r="Z67" s="426" t="str">
        <f t="shared" si="19"/>
        <v/>
      </c>
      <c r="AA67" s="136" t="str">
        <f t="shared" si="20"/>
        <v>x</v>
      </c>
      <c r="AB67" s="185"/>
      <c r="AC67" s="185"/>
      <c r="AD67" s="185"/>
      <c r="AE67" s="185"/>
      <c r="AF67" s="185"/>
    </row>
    <row r="68" spans="1:32" s="115" customFormat="1" ht="16" customHeight="1">
      <c r="A68" s="106">
        <v>45083</v>
      </c>
      <c r="B68" s="109" t="s">
        <v>38</v>
      </c>
      <c r="C68" s="107" t="s">
        <v>54</v>
      </c>
      <c r="D68" s="137" t="s">
        <v>207</v>
      </c>
      <c r="E68" s="137"/>
      <c r="F68" s="109" t="s">
        <v>208</v>
      </c>
      <c r="G68" s="133">
        <v>6519</v>
      </c>
      <c r="H68" s="133">
        <v>1504</v>
      </c>
      <c r="I68" s="110"/>
      <c r="J68" s="133"/>
      <c r="K68" s="133"/>
      <c r="L68" s="133"/>
      <c r="M68" s="133"/>
      <c r="N68" s="133"/>
      <c r="O68" s="391"/>
      <c r="P68" s="109" t="s">
        <v>2</v>
      </c>
      <c r="Q68" s="139">
        <v>4767870</v>
      </c>
      <c r="R68" s="392">
        <v>0.19639999999999999</v>
      </c>
      <c r="S68" s="393">
        <f t="shared" si="15"/>
        <v>936409.66799999995</v>
      </c>
      <c r="T68" s="387">
        <f t="shared" si="16"/>
        <v>731.38057984353429</v>
      </c>
      <c r="U68" s="141">
        <f t="shared" si="17"/>
        <v>45143</v>
      </c>
      <c r="V68" s="142">
        <v>45385</v>
      </c>
      <c r="W68" s="143"/>
      <c r="X68" s="476"/>
      <c r="Y68" s="135" t="str">
        <f t="shared" si="18"/>
        <v/>
      </c>
      <c r="Z68" s="426" t="str">
        <f t="shared" si="19"/>
        <v/>
      </c>
      <c r="AA68" s="136" t="str">
        <f t="shared" si="20"/>
        <v>x</v>
      </c>
      <c r="AB68" s="185"/>
      <c r="AC68" s="185"/>
      <c r="AD68" s="185"/>
      <c r="AE68" s="185"/>
      <c r="AF68" s="185"/>
    </row>
    <row r="69" spans="1:32" s="115" customFormat="1" ht="16" customHeight="1">
      <c r="A69" s="106">
        <v>45085</v>
      </c>
      <c r="B69" s="109" t="s">
        <v>38</v>
      </c>
      <c r="C69" s="107" t="s">
        <v>54</v>
      </c>
      <c r="D69" s="137" t="s">
        <v>209</v>
      </c>
      <c r="E69" s="137"/>
      <c r="F69" s="109" t="s">
        <v>65</v>
      </c>
      <c r="G69" s="133">
        <v>927</v>
      </c>
      <c r="H69" s="133">
        <v>348</v>
      </c>
      <c r="I69" s="110"/>
      <c r="J69" s="133"/>
      <c r="K69" s="133"/>
      <c r="L69" s="133"/>
      <c r="M69" s="133"/>
      <c r="N69" s="133"/>
      <c r="O69" s="391"/>
      <c r="P69" s="109" t="s">
        <v>7</v>
      </c>
      <c r="Q69" s="139">
        <v>898625</v>
      </c>
      <c r="R69" s="392">
        <v>0.2</v>
      </c>
      <c r="S69" s="393">
        <f t="shared" si="15"/>
        <v>179725</v>
      </c>
      <c r="T69" s="387">
        <f t="shared" si="16"/>
        <v>969.39050701186625</v>
      </c>
      <c r="U69" s="141">
        <f t="shared" si="17"/>
        <v>45145</v>
      </c>
      <c r="V69" s="144"/>
      <c r="W69" s="143"/>
      <c r="X69" s="476"/>
      <c r="Y69" s="135" t="str">
        <f t="shared" si="18"/>
        <v>x</v>
      </c>
      <c r="Z69" s="426" t="str">
        <f t="shared" si="19"/>
        <v>x</v>
      </c>
      <c r="AA69" s="136" t="str">
        <f t="shared" si="20"/>
        <v/>
      </c>
      <c r="AB69" s="185"/>
      <c r="AC69" s="185"/>
      <c r="AD69" s="185"/>
      <c r="AE69" s="185"/>
      <c r="AF69" s="185"/>
    </row>
    <row r="70" spans="1:32" s="115" customFormat="1" ht="16" customHeight="1">
      <c r="A70" s="106">
        <v>45092</v>
      </c>
      <c r="B70" s="109" t="s">
        <v>38</v>
      </c>
      <c r="C70" s="107" t="s">
        <v>687</v>
      </c>
      <c r="D70" s="107" t="s">
        <v>210</v>
      </c>
      <c r="E70" s="107"/>
      <c r="F70" s="109" t="s">
        <v>41</v>
      </c>
      <c r="G70" s="133">
        <v>954</v>
      </c>
      <c r="H70" s="133">
        <v>453</v>
      </c>
      <c r="I70" s="110"/>
      <c r="J70" s="133"/>
      <c r="K70" s="133"/>
      <c r="L70" s="133"/>
      <c r="M70" s="133"/>
      <c r="N70" s="133"/>
      <c r="O70" s="391"/>
      <c r="P70" s="109" t="s">
        <v>2</v>
      </c>
      <c r="Q70" s="139">
        <v>1046213</v>
      </c>
      <c r="R70" s="392">
        <v>0.2</v>
      </c>
      <c r="S70" s="393">
        <f t="shared" si="15"/>
        <v>209242.6</v>
      </c>
      <c r="T70" s="387">
        <f t="shared" si="16"/>
        <v>1096.6593291404613</v>
      </c>
      <c r="U70" s="141">
        <f t="shared" si="17"/>
        <v>45152</v>
      </c>
      <c r="V70" s="144"/>
      <c r="W70" s="143"/>
      <c r="X70" s="476">
        <v>9</v>
      </c>
      <c r="Y70" s="135" t="str">
        <f t="shared" si="18"/>
        <v/>
      </c>
      <c r="Z70" s="426" t="str">
        <f t="shared" si="19"/>
        <v/>
      </c>
      <c r="AA70" s="136" t="str">
        <f t="shared" si="20"/>
        <v>x</v>
      </c>
      <c r="AB70" s="185"/>
      <c r="AC70" s="185"/>
      <c r="AD70" s="185"/>
      <c r="AE70" s="185"/>
      <c r="AF70" s="185"/>
    </row>
    <row r="71" spans="1:32" s="115" customFormat="1" ht="16" customHeight="1">
      <c r="A71" s="106">
        <v>45092</v>
      </c>
      <c r="B71" s="109" t="s">
        <v>38</v>
      </c>
      <c r="C71" s="107" t="s">
        <v>687</v>
      </c>
      <c r="D71" s="107" t="s">
        <v>211</v>
      </c>
      <c r="E71" s="107"/>
      <c r="F71" s="109" t="s">
        <v>41</v>
      </c>
      <c r="G71" s="133">
        <v>1301</v>
      </c>
      <c r="H71" s="133">
        <v>447</v>
      </c>
      <c r="I71" s="110"/>
      <c r="J71" s="133"/>
      <c r="K71" s="133"/>
      <c r="L71" s="133"/>
      <c r="M71" s="133"/>
      <c r="N71" s="133"/>
      <c r="O71" s="391"/>
      <c r="P71" s="109" t="s">
        <v>2</v>
      </c>
      <c r="Q71" s="139">
        <v>1169050</v>
      </c>
      <c r="R71" s="392">
        <v>0.2</v>
      </c>
      <c r="S71" s="393">
        <f t="shared" si="15"/>
        <v>233810</v>
      </c>
      <c r="T71" s="387">
        <f t="shared" si="16"/>
        <v>898.57801691006921</v>
      </c>
      <c r="U71" s="141">
        <f t="shared" si="17"/>
        <v>45152</v>
      </c>
      <c r="V71" s="144"/>
      <c r="W71" s="143"/>
      <c r="X71" s="476">
        <v>9</v>
      </c>
      <c r="Y71" s="135" t="str">
        <f t="shared" si="18"/>
        <v/>
      </c>
      <c r="Z71" s="426" t="str">
        <f t="shared" si="19"/>
        <v/>
      </c>
      <c r="AA71" s="136" t="str">
        <f t="shared" si="20"/>
        <v>x</v>
      </c>
      <c r="AB71" s="185"/>
      <c r="AC71" s="185"/>
      <c r="AD71" s="185"/>
      <c r="AE71" s="185"/>
      <c r="AF71" s="185"/>
    </row>
    <row r="72" spans="1:32" s="115" customFormat="1" ht="16" customHeight="1">
      <c r="A72" s="106">
        <v>45187</v>
      </c>
      <c r="B72" s="109" t="s">
        <v>38</v>
      </c>
      <c r="C72" s="353" t="s">
        <v>54</v>
      </c>
      <c r="D72" s="107" t="s">
        <v>212</v>
      </c>
      <c r="E72" s="107"/>
      <c r="F72" s="109" t="s">
        <v>213</v>
      </c>
      <c r="G72" s="133">
        <v>3790</v>
      </c>
      <c r="H72" s="133">
        <v>1189</v>
      </c>
      <c r="I72" s="110"/>
      <c r="J72" s="133"/>
      <c r="K72" s="133"/>
      <c r="L72" s="133"/>
      <c r="M72" s="133"/>
      <c r="N72" s="133"/>
      <c r="O72" s="391"/>
      <c r="P72" s="109" t="s">
        <v>2</v>
      </c>
      <c r="Q72" s="139">
        <v>2857240</v>
      </c>
      <c r="R72" s="392">
        <v>0.15</v>
      </c>
      <c r="S72" s="393">
        <f t="shared" si="15"/>
        <v>428586</v>
      </c>
      <c r="T72" s="387">
        <f t="shared" si="16"/>
        <v>753.88918205804748</v>
      </c>
      <c r="U72" s="141">
        <f t="shared" si="17"/>
        <v>45247</v>
      </c>
      <c r="V72" s="142">
        <v>45385</v>
      </c>
      <c r="W72" s="143"/>
      <c r="X72" s="476">
        <v>2</v>
      </c>
      <c r="Y72" s="135" t="str">
        <f t="shared" si="18"/>
        <v/>
      </c>
      <c r="Z72" s="426" t="str">
        <f t="shared" si="19"/>
        <v/>
      </c>
      <c r="AA72" s="136" t="str">
        <f t="shared" si="20"/>
        <v>x</v>
      </c>
      <c r="AB72" s="185"/>
      <c r="AC72" s="185"/>
      <c r="AD72" s="185"/>
      <c r="AE72" s="185"/>
      <c r="AF72" s="185"/>
    </row>
    <row r="73" spans="1:32" s="115" customFormat="1" ht="16" customHeight="1">
      <c r="A73" s="106">
        <v>45219</v>
      </c>
      <c r="B73" s="109" t="s">
        <v>38</v>
      </c>
      <c r="C73" s="353" t="s">
        <v>54</v>
      </c>
      <c r="D73" s="107" t="s">
        <v>214</v>
      </c>
      <c r="E73" s="109"/>
      <c r="F73" s="109" t="s">
        <v>77</v>
      </c>
      <c r="G73" s="133">
        <v>18883</v>
      </c>
      <c r="H73" s="133">
        <v>4291</v>
      </c>
      <c r="I73" s="110"/>
      <c r="J73" s="133"/>
      <c r="K73" s="133"/>
      <c r="L73" s="133"/>
      <c r="M73" s="133"/>
      <c r="N73" s="133"/>
      <c r="O73" s="391"/>
      <c r="P73" s="109" t="s">
        <v>7</v>
      </c>
      <c r="Q73" s="139">
        <v>11444244</v>
      </c>
      <c r="R73" s="392">
        <v>0.1</v>
      </c>
      <c r="S73" s="393">
        <f t="shared" si="15"/>
        <v>1144424.4000000001</v>
      </c>
      <c r="T73" s="387">
        <f t="shared" si="16"/>
        <v>606.06068950908229</v>
      </c>
      <c r="U73" s="141">
        <f t="shared" si="17"/>
        <v>45279</v>
      </c>
      <c r="V73" s="144"/>
      <c r="W73" s="143" t="s">
        <v>215</v>
      </c>
      <c r="X73" s="476"/>
      <c r="Y73" s="135" t="str">
        <f t="shared" si="18"/>
        <v>x</v>
      </c>
      <c r="Z73" s="426" t="str">
        <f t="shared" si="19"/>
        <v>x</v>
      </c>
      <c r="AA73" s="136" t="str">
        <f t="shared" si="20"/>
        <v/>
      </c>
      <c r="AB73" s="185"/>
      <c r="AC73" s="185"/>
      <c r="AD73" s="185"/>
      <c r="AE73" s="185"/>
      <c r="AF73" s="185"/>
    </row>
    <row r="74" spans="1:32" s="115" customFormat="1" ht="16" customHeight="1">
      <c r="A74" s="106">
        <v>45098</v>
      </c>
      <c r="B74" s="109" t="s">
        <v>38</v>
      </c>
      <c r="C74" s="107" t="s">
        <v>54</v>
      </c>
      <c r="D74" s="137" t="s">
        <v>216</v>
      </c>
      <c r="E74" s="138"/>
      <c r="F74" s="109"/>
      <c r="G74" s="133">
        <v>1208</v>
      </c>
      <c r="H74" s="133">
        <v>326</v>
      </c>
      <c r="I74" s="110"/>
      <c r="J74" s="133"/>
      <c r="K74" s="133"/>
      <c r="L74" s="133"/>
      <c r="M74" s="133"/>
      <c r="N74" s="133"/>
      <c r="O74" s="391"/>
      <c r="P74" s="109" t="s">
        <v>5</v>
      </c>
      <c r="Q74" s="139">
        <v>868490</v>
      </c>
      <c r="R74" s="392">
        <v>0.2</v>
      </c>
      <c r="S74" s="393">
        <f t="shared" si="15"/>
        <v>173698</v>
      </c>
      <c r="T74" s="387">
        <f t="shared" si="16"/>
        <v>718.94867549668879</v>
      </c>
      <c r="U74" s="141">
        <f t="shared" si="17"/>
        <v>45158</v>
      </c>
      <c r="V74" s="142">
        <v>45385</v>
      </c>
      <c r="W74" s="143" t="s">
        <v>217</v>
      </c>
      <c r="X74" s="476"/>
      <c r="Y74" s="135" t="str">
        <f t="shared" si="18"/>
        <v/>
      </c>
      <c r="Z74" s="426" t="str">
        <f t="shared" si="19"/>
        <v/>
      </c>
      <c r="AA74" s="136" t="str">
        <f t="shared" si="20"/>
        <v/>
      </c>
      <c r="AB74" s="185"/>
      <c r="AC74" s="185"/>
      <c r="AD74" s="185"/>
      <c r="AE74" s="185"/>
      <c r="AF74" s="185"/>
    </row>
    <row r="75" spans="1:32" s="115" customFormat="1" ht="16" customHeight="1">
      <c r="A75" s="106">
        <v>45146</v>
      </c>
      <c r="B75" s="109" t="s">
        <v>38</v>
      </c>
      <c r="C75" s="107" t="s">
        <v>54</v>
      </c>
      <c r="D75" s="137" t="s">
        <v>218</v>
      </c>
      <c r="E75" s="138"/>
      <c r="F75" s="109" t="s">
        <v>219</v>
      </c>
      <c r="G75" s="133">
        <v>546</v>
      </c>
      <c r="H75" s="133">
        <v>221</v>
      </c>
      <c r="I75" s="110"/>
      <c r="J75" s="133"/>
      <c r="K75" s="133"/>
      <c r="L75" s="133"/>
      <c r="M75" s="133"/>
      <c r="N75" s="133"/>
      <c r="O75" s="391"/>
      <c r="P75" s="109" t="s">
        <v>5</v>
      </c>
      <c r="Q75" s="139">
        <v>536170</v>
      </c>
      <c r="R75" s="392">
        <v>0.2072</v>
      </c>
      <c r="S75" s="393">
        <f t="shared" si="15"/>
        <v>111094.424</v>
      </c>
      <c r="T75" s="387">
        <f t="shared" si="16"/>
        <v>981.99633699633705</v>
      </c>
      <c r="U75" s="141">
        <f t="shared" si="17"/>
        <v>45206</v>
      </c>
      <c r="V75" s="142">
        <v>45385</v>
      </c>
      <c r="W75" s="143"/>
      <c r="X75" s="476"/>
      <c r="Y75" s="135" t="str">
        <f t="shared" si="18"/>
        <v/>
      </c>
      <c r="Z75" s="426" t="str">
        <f t="shared" si="19"/>
        <v/>
      </c>
      <c r="AA75" s="136" t="str">
        <f t="shared" si="20"/>
        <v/>
      </c>
      <c r="AB75" s="185"/>
      <c r="AC75" s="185"/>
      <c r="AD75" s="185"/>
      <c r="AE75" s="185"/>
      <c r="AF75" s="185"/>
    </row>
    <row r="76" spans="1:32" s="115" customFormat="1" ht="16" customHeight="1">
      <c r="A76" s="273">
        <v>45105</v>
      </c>
      <c r="B76" s="109" t="s">
        <v>38</v>
      </c>
      <c r="C76" s="137" t="s">
        <v>54</v>
      </c>
      <c r="D76" s="137" t="s">
        <v>220</v>
      </c>
      <c r="E76" s="137"/>
      <c r="F76" s="109" t="s">
        <v>112</v>
      </c>
      <c r="G76" s="133">
        <v>9958</v>
      </c>
      <c r="H76" s="133">
        <v>2255</v>
      </c>
      <c r="I76" s="109"/>
      <c r="J76" s="109"/>
      <c r="K76" s="133"/>
      <c r="L76" s="109"/>
      <c r="M76" s="109"/>
      <c r="N76" s="109"/>
      <c r="O76" s="391"/>
      <c r="P76" s="138" t="s">
        <v>2</v>
      </c>
      <c r="Q76" s="139">
        <v>6820680</v>
      </c>
      <c r="R76" s="392">
        <v>0.156</v>
      </c>
      <c r="S76" s="393">
        <f t="shared" ref="S76:S107" si="21">Q76*R76</f>
        <v>1064026.08</v>
      </c>
      <c r="T76" s="387">
        <f t="shared" ref="T76:T107" si="22">Q76/G76</f>
        <v>684.94476802570796</v>
      </c>
      <c r="U76" s="141">
        <f t="shared" si="17"/>
        <v>45165</v>
      </c>
      <c r="V76" s="142"/>
      <c r="W76" s="143"/>
      <c r="X76" s="476">
        <v>5</v>
      </c>
      <c r="Y76" s="135" t="str">
        <f t="shared" ref="Y76:Y107" si="23">IF(OR(P76="Ordre",P76="Ferdig"),"x","")</f>
        <v/>
      </c>
      <c r="Z76" s="426" t="str">
        <f t="shared" ref="Z76:Z107" si="24">IF(P76="Ferdig","x","")</f>
        <v/>
      </c>
      <c r="AA76" s="136" t="str">
        <f t="shared" ref="AA76:AA107" si="25">IF(P76="Tapt","x","")</f>
        <v>x</v>
      </c>
      <c r="AB76" s="185"/>
      <c r="AC76" s="185"/>
      <c r="AD76" s="185"/>
      <c r="AE76" s="185"/>
      <c r="AF76" s="185"/>
    </row>
    <row r="77" spans="1:32" s="115" customFormat="1" ht="16" customHeight="1">
      <c r="A77" s="106">
        <v>45639</v>
      </c>
      <c r="B77" s="109" t="s">
        <v>38</v>
      </c>
      <c r="C77" s="107" t="s">
        <v>54</v>
      </c>
      <c r="D77" s="137" t="s">
        <v>221</v>
      </c>
      <c r="E77" s="137"/>
      <c r="F77" s="109" t="s">
        <v>222</v>
      </c>
      <c r="G77" s="133">
        <v>4474</v>
      </c>
      <c r="H77" s="133">
        <f>1000</f>
        <v>1000</v>
      </c>
      <c r="I77" s="110"/>
      <c r="J77" s="133"/>
      <c r="K77" s="133"/>
      <c r="L77" s="133"/>
      <c r="M77" s="133"/>
      <c r="N77" s="133"/>
      <c r="O77" s="391"/>
      <c r="P77" s="109" t="s">
        <v>43</v>
      </c>
      <c r="Q77" s="139">
        <v>2834760</v>
      </c>
      <c r="R77" s="392">
        <v>0.09</v>
      </c>
      <c r="S77" s="393">
        <f t="shared" si="21"/>
        <v>255128.4</v>
      </c>
      <c r="T77" s="387">
        <f t="shared" si="22"/>
        <v>633.60751005811358</v>
      </c>
      <c r="U77" s="141">
        <f t="shared" si="17"/>
        <v>45699</v>
      </c>
      <c r="V77" s="142">
        <v>45385</v>
      </c>
      <c r="W77" s="143" t="s">
        <v>223</v>
      </c>
      <c r="X77" s="476"/>
      <c r="Y77" s="135" t="str">
        <f t="shared" si="23"/>
        <v/>
      </c>
      <c r="Z77" s="426" t="str">
        <f t="shared" si="24"/>
        <v/>
      </c>
      <c r="AA77" s="136" t="str">
        <f t="shared" si="25"/>
        <v/>
      </c>
      <c r="AB77" s="185"/>
      <c r="AC77" s="185"/>
      <c r="AD77" s="185"/>
      <c r="AE77" s="185"/>
      <c r="AF77" s="185"/>
    </row>
    <row r="78" spans="1:32" s="115" customFormat="1" ht="16" customHeight="1">
      <c r="A78" s="273">
        <v>45105</v>
      </c>
      <c r="B78" s="109" t="s">
        <v>38</v>
      </c>
      <c r="C78" s="107" t="s">
        <v>186</v>
      </c>
      <c r="D78" s="137" t="s">
        <v>224</v>
      </c>
      <c r="E78" s="137"/>
      <c r="F78" s="109" t="s">
        <v>50</v>
      </c>
      <c r="G78" s="133">
        <v>3845</v>
      </c>
      <c r="H78" s="133">
        <v>974</v>
      </c>
      <c r="I78" s="109"/>
      <c r="J78" s="109"/>
      <c r="K78" s="133"/>
      <c r="L78" s="109"/>
      <c r="M78" s="109"/>
      <c r="N78" s="109"/>
      <c r="O78" s="391"/>
      <c r="P78" s="138" t="s">
        <v>2</v>
      </c>
      <c r="Q78" s="139">
        <v>2619010</v>
      </c>
      <c r="R78" s="392">
        <v>0.19220000000000001</v>
      </c>
      <c r="S78" s="393">
        <f t="shared" si="21"/>
        <v>503373.72200000001</v>
      </c>
      <c r="T78" s="387">
        <f t="shared" si="22"/>
        <v>681.14694408322498</v>
      </c>
      <c r="U78" s="141">
        <f t="shared" si="17"/>
        <v>45165</v>
      </c>
      <c r="V78" s="142">
        <v>45385</v>
      </c>
      <c r="W78" s="143"/>
      <c r="X78" s="476"/>
      <c r="Y78" s="135" t="str">
        <f t="shared" si="23"/>
        <v/>
      </c>
      <c r="Z78" s="426" t="str">
        <f t="shared" si="24"/>
        <v/>
      </c>
      <c r="AA78" s="136" t="str">
        <f t="shared" si="25"/>
        <v>x</v>
      </c>
      <c r="AB78" s="185"/>
      <c r="AC78" s="185"/>
      <c r="AD78" s="185"/>
      <c r="AE78" s="185"/>
      <c r="AF78" s="185"/>
    </row>
    <row r="79" spans="1:32" s="115" customFormat="1" ht="16" customHeight="1">
      <c r="A79" s="273">
        <v>45105</v>
      </c>
      <c r="B79" s="109" t="s">
        <v>38</v>
      </c>
      <c r="C79" s="137" t="s">
        <v>54</v>
      </c>
      <c r="D79" s="137" t="s">
        <v>225</v>
      </c>
      <c r="E79" s="137"/>
      <c r="F79" s="109" t="s">
        <v>226</v>
      </c>
      <c r="G79" s="133">
        <v>1241</v>
      </c>
      <c r="H79" s="133">
        <v>362</v>
      </c>
      <c r="I79" s="109"/>
      <c r="J79" s="109"/>
      <c r="K79" s="133"/>
      <c r="L79" s="109"/>
      <c r="M79" s="109"/>
      <c r="N79" s="109"/>
      <c r="O79" s="391"/>
      <c r="P79" s="138" t="s">
        <v>2</v>
      </c>
      <c r="Q79" s="139">
        <v>925410</v>
      </c>
      <c r="R79" s="392">
        <v>0.2</v>
      </c>
      <c r="S79" s="393">
        <f t="shared" si="21"/>
        <v>185082</v>
      </c>
      <c r="T79" s="387">
        <f t="shared" si="22"/>
        <v>745.69701853344077</v>
      </c>
      <c r="U79" s="141">
        <f t="shared" si="17"/>
        <v>45165</v>
      </c>
      <c r="V79" s="142">
        <v>45385</v>
      </c>
      <c r="W79" s="143"/>
      <c r="X79" s="476"/>
      <c r="Y79" s="135" t="str">
        <f t="shared" si="23"/>
        <v/>
      </c>
      <c r="Z79" s="426" t="str">
        <f t="shared" si="24"/>
        <v/>
      </c>
      <c r="AA79" s="136" t="str">
        <f t="shared" si="25"/>
        <v>x</v>
      </c>
      <c r="AB79" s="185"/>
      <c r="AC79" s="185"/>
      <c r="AD79" s="185"/>
      <c r="AE79" s="185"/>
      <c r="AF79" s="185"/>
    </row>
    <row r="80" spans="1:32" s="115" customFormat="1" ht="16" customHeight="1">
      <c r="A80" s="273">
        <v>45232</v>
      </c>
      <c r="B80" s="109" t="s">
        <v>38</v>
      </c>
      <c r="C80" s="137" t="s">
        <v>186</v>
      </c>
      <c r="D80" s="137" t="s">
        <v>227</v>
      </c>
      <c r="E80" s="138"/>
      <c r="F80" s="109" t="s">
        <v>228</v>
      </c>
      <c r="G80" s="133">
        <v>5897</v>
      </c>
      <c r="H80" s="133">
        <f>1434-119</f>
        <v>1315</v>
      </c>
      <c r="I80" s="109"/>
      <c r="J80" s="109"/>
      <c r="K80" s="133"/>
      <c r="L80" s="109"/>
      <c r="M80" s="109"/>
      <c r="N80" s="109"/>
      <c r="O80" s="391"/>
      <c r="P80" s="138" t="s">
        <v>7</v>
      </c>
      <c r="Q80" s="139">
        <v>3639440</v>
      </c>
      <c r="R80" s="392">
        <v>0.16</v>
      </c>
      <c r="S80" s="393">
        <f t="shared" si="21"/>
        <v>582310.40000000002</v>
      </c>
      <c r="T80" s="387">
        <f t="shared" si="22"/>
        <v>617.16805155163638</v>
      </c>
      <c r="U80" s="141">
        <f t="shared" si="17"/>
        <v>45292</v>
      </c>
      <c r="V80" s="142"/>
      <c r="W80" s="143" t="s">
        <v>229</v>
      </c>
      <c r="X80" s="476"/>
      <c r="Y80" s="135" t="str">
        <f t="shared" si="23"/>
        <v>x</v>
      </c>
      <c r="Z80" s="426" t="str">
        <f t="shared" si="24"/>
        <v>x</v>
      </c>
      <c r="AA80" s="136" t="str">
        <f t="shared" si="25"/>
        <v/>
      </c>
      <c r="AB80" s="185"/>
      <c r="AC80" s="185"/>
      <c r="AD80" s="185"/>
      <c r="AE80" s="185"/>
      <c r="AF80" s="185"/>
    </row>
    <row r="81" spans="1:32" s="115" customFormat="1" ht="16" customHeight="1">
      <c r="A81" s="273">
        <v>45615</v>
      </c>
      <c r="B81" s="109" t="s">
        <v>38</v>
      </c>
      <c r="C81" s="137" t="s">
        <v>54</v>
      </c>
      <c r="D81" s="137" t="s">
        <v>230</v>
      </c>
      <c r="E81" s="138"/>
      <c r="F81" s="109" t="s">
        <v>228</v>
      </c>
      <c r="G81" s="133">
        <v>2251</v>
      </c>
      <c r="H81" s="133">
        <f>452</f>
        <v>452</v>
      </c>
      <c r="I81" s="109"/>
      <c r="J81" s="109"/>
      <c r="K81" s="133"/>
      <c r="L81" s="109"/>
      <c r="M81" s="109"/>
      <c r="N81" s="109"/>
      <c r="O81" s="391"/>
      <c r="P81" s="138" t="s">
        <v>7</v>
      </c>
      <c r="Q81" s="139">
        <v>1647780</v>
      </c>
      <c r="R81" s="392">
        <v>0.12</v>
      </c>
      <c r="S81" s="393">
        <f t="shared" si="21"/>
        <v>197733.6</v>
      </c>
      <c r="T81" s="387">
        <f t="shared" si="22"/>
        <v>732.02132385606399</v>
      </c>
      <c r="U81" s="141">
        <f t="shared" si="17"/>
        <v>45675</v>
      </c>
      <c r="V81" s="142">
        <v>45385</v>
      </c>
      <c r="W81" s="143" t="s">
        <v>231</v>
      </c>
      <c r="X81" s="476"/>
      <c r="Y81" s="135" t="str">
        <f t="shared" si="23"/>
        <v>x</v>
      </c>
      <c r="Z81" s="426" t="str">
        <f t="shared" si="24"/>
        <v>x</v>
      </c>
      <c r="AA81" s="136" t="str">
        <f t="shared" si="25"/>
        <v/>
      </c>
      <c r="AB81" s="185"/>
      <c r="AC81" s="185"/>
      <c r="AD81" s="185"/>
      <c r="AE81" s="185"/>
      <c r="AF81" s="185"/>
    </row>
    <row r="82" spans="1:32" s="115" customFormat="1" ht="16" customHeight="1">
      <c r="A82" s="273">
        <v>45140</v>
      </c>
      <c r="B82" s="109" t="s">
        <v>38</v>
      </c>
      <c r="C82" s="137" t="s">
        <v>54</v>
      </c>
      <c r="D82" s="137" t="s">
        <v>232</v>
      </c>
      <c r="E82" s="138"/>
      <c r="F82" s="109"/>
      <c r="G82" s="133">
        <v>5403</v>
      </c>
      <c r="H82" s="133">
        <v>1432</v>
      </c>
      <c r="I82" s="109"/>
      <c r="J82" s="109"/>
      <c r="K82" s="133"/>
      <c r="L82" s="109"/>
      <c r="M82" s="109"/>
      <c r="N82" s="109"/>
      <c r="O82" s="391"/>
      <c r="P82" s="138" t="s">
        <v>80</v>
      </c>
      <c r="Q82" s="139">
        <v>4168140</v>
      </c>
      <c r="R82" s="392">
        <v>0.18210000000000001</v>
      </c>
      <c r="S82" s="393">
        <f t="shared" si="21"/>
        <v>759018.29399999999</v>
      </c>
      <c r="T82" s="387">
        <f t="shared" si="22"/>
        <v>771.44919489172685</v>
      </c>
      <c r="U82" s="141">
        <f t="shared" si="17"/>
        <v>45200</v>
      </c>
      <c r="V82" s="142">
        <v>45385</v>
      </c>
      <c r="W82" s="143" t="s">
        <v>233</v>
      </c>
      <c r="X82" s="476">
        <v>1</v>
      </c>
      <c r="Y82" s="135" t="str">
        <f t="shared" si="23"/>
        <v/>
      </c>
      <c r="Z82" s="426" t="str">
        <f t="shared" si="24"/>
        <v/>
      </c>
      <c r="AA82" s="136" t="str">
        <f t="shared" si="25"/>
        <v/>
      </c>
      <c r="AB82" s="185"/>
      <c r="AC82" s="185"/>
      <c r="AD82" s="185"/>
      <c r="AE82" s="185"/>
      <c r="AF82" s="185"/>
    </row>
    <row r="83" spans="1:32" s="115" customFormat="1" ht="16" customHeight="1">
      <c r="A83" s="273">
        <v>45146</v>
      </c>
      <c r="B83" s="109" t="s">
        <v>38</v>
      </c>
      <c r="C83" s="137" t="s">
        <v>54</v>
      </c>
      <c r="D83" s="137" t="s">
        <v>234</v>
      </c>
      <c r="E83" s="138"/>
      <c r="F83" s="109" t="s">
        <v>235</v>
      </c>
      <c r="G83" s="133">
        <v>822</v>
      </c>
      <c r="H83" s="133">
        <v>288</v>
      </c>
      <c r="I83" s="109"/>
      <c r="J83" s="109"/>
      <c r="K83" s="133"/>
      <c r="L83" s="109"/>
      <c r="M83" s="109"/>
      <c r="N83" s="109"/>
      <c r="O83" s="391"/>
      <c r="P83" s="138" t="s">
        <v>5</v>
      </c>
      <c r="Q83" s="139">
        <v>693180</v>
      </c>
      <c r="R83" s="392">
        <v>0.18</v>
      </c>
      <c r="S83" s="393">
        <f t="shared" si="21"/>
        <v>124772.4</v>
      </c>
      <c r="T83" s="387">
        <f t="shared" si="22"/>
        <v>843.28467153284669</v>
      </c>
      <c r="U83" s="141">
        <f t="shared" si="17"/>
        <v>45206</v>
      </c>
      <c r="V83" s="142">
        <v>45385</v>
      </c>
      <c r="W83" s="143"/>
      <c r="X83" s="476"/>
      <c r="Y83" s="135" t="str">
        <f t="shared" si="23"/>
        <v/>
      </c>
      <c r="Z83" s="426" t="str">
        <f t="shared" si="24"/>
        <v/>
      </c>
      <c r="AA83" s="136" t="str">
        <f t="shared" si="25"/>
        <v/>
      </c>
      <c r="AB83" s="185"/>
      <c r="AC83" s="185"/>
      <c r="AD83" s="185"/>
      <c r="AE83" s="185"/>
      <c r="AF83" s="185"/>
    </row>
    <row r="84" spans="1:32" s="115" customFormat="1" ht="16" customHeight="1">
      <c r="A84" s="273">
        <v>45553</v>
      </c>
      <c r="B84" s="109" t="s">
        <v>38</v>
      </c>
      <c r="C84" s="137" t="s">
        <v>54</v>
      </c>
      <c r="D84" s="137" t="s">
        <v>236</v>
      </c>
      <c r="E84" s="138"/>
      <c r="F84" s="109" t="s">
        <v>50</v>
      </c>
      <c r="G84" s="133">
        <v>4807</v>
      </c>
      <c r="H84" s="133">
        <v>1477</v>
      </c>
      <c r="I84" s="109"/>
      <c r="J84" s="109"/>
      <c r="K84" s="133"/>
      <c r="L84" s="109"/>
      <c r="M84" s="109"/>
      <c r="N84" s="109"/>
      <c r="O84" s="391"/>
      <c r="P84" s="138" t="s">
        <v>3</v>
      </c>
      <c r="Q84" s="139">
        <v>2996290</v>
      </c>
      <c r="R84" s="392">
        <v>0.09</v>
      </c>
      <c r="S84" s="393">
        <f t="shared" si="21"/>
        <v>269666.09999999998</v>
      </c>
      <c r="T84" s="387">
        <f t="shared" si="22"/>
        <v>623.31807780320366</v>
      </c>
      <c r="U84" s="141">
        <f t="shared" si="17"/>
        <v>45613</v>
      </c>
      <c r="V84" s="142">
        <v>45385</v>
      </c>
      <c r="W84" s="143"/>
      <c r="X84" s="476"/>
      <c r="Y84" s="135" t="str">
        <f t="shared" si="23"/>
        <v>x</v>
      </c>
      <c r="Z84" s="426" t="str">
        <f t="shared" si="24"/>
        <v/>
      </c>
      <c r="AA84" s="136" t="str">
        <f t="shared" si="25"/>
        <v/>
      </c>
      <c r="AB84" s="185"/>
      <c r="AC84" s="185"/>
      <c r="AD84" s="185"/>
      <c r="AE84" s="185"/>
      <c r="AF84" s="185"/>
    </row>
    <row r="85" spans="1:32" s="115" customFormat="1" ht="16" customHeight="1">
      <c r="A85" s="273">
        <v>45161</v>
      </c>
      <c r="B85" s="109" t="s">
        <v>38</v>
      </c>
      <c r="C85" s="137" t="s">
        <v>186</v>
      </c>
      <c r="D85" s="137" t="s">
        <v>237</v>
      </c>
      <c r="E85" s="137"/>
      <c r="F85" s="109" t="s">
        <v>185</v>
      </c>
      <c r="G85" s="133">
        <v>7993</v>
      </c>
      <c r="H85" s="133">
        <v>2109</v>
      </c>
      <c r="I85" s="109"/>
      <c r="J85" s="109"/>
      <c r="K85" s="133"/>
      <c r="L85" s="109"/>
      <c r="M85" s="109"/>
      <c r="N85" s="109"/>
      <c r="O85" s="391"/>
      <c r="P85" s="138" t="s">
        <v>2</v>
      </c>
      <c r="Q85" s="139">
        <v>5395760</v>
      </c>
      <c r="R85" s="392">
        <v>0.18</v>
      </c>
      <c r="S85" s="393">
        <f t="shared" si="21"/>
        <v>971236.79999999993</v>
      </c>
      <c r="T85" s="387">
        <f t="shared" si="22"/>
        <v>675.06067809333172</v>
      </c>
      <c r="U85" s="141">
        <f t="shared" si="17"/>
        <v>45221</v>
      </c>
      <c r="V85" s="142"/>
      <c r="W85" s="143"/>
      <c r="X85" s="476"/>
      <c r="Y85" s="135" t="str">
        <f t="shared" si="23"/>
        <v/>
      </c>
      <c r="Z85" s="426" t="str">
        <f t="shared" si="24"/>
        <v/>
      </c>
      <c r="AA85" s="136" t="str">
        <f t="shared" si="25"/>
        <v>x</v>
      </c>
      <c r="AB85" s="185"/>
      <c r="AC85" s="185"/>
      <c r="AD85" s="185"/>
      <c r="AE85" s="185"/>
      <c r="AF85" s="185"/>
    </row>
    <row r="86" spans="1:32" s="115" customFormat="1" ht="16" customHeight="1">
      <c r="A86" s="273">
        <v>45181</v>
      </c>
      <c r="B86" s="109" t="s">
        <v>38</v>
      </c>
      <c r="C86" s="137" t="s">
        <v>54</v>
      </c>
      <c r="D86" s="137" t="s">
        <v>238</v>
      </c>
      <c r="E86" s="137"/>
      <c r="F86" s="109" t="s">
        <v>154</v>
      </c>
      <c r="G86" s="133"/>
      <c r="H86" s="133">
        <v>455</v>
      </c>
      <c r="I86" s="109"/>
      <c r="J86" s="109"/>
      <c r="K86" s="133"/>
      <c r="L86" s="109"/>
      <c r="M86" s="109"/>
      <c r="N86" s="109"/>
      <c r="O86" s="391"/>
      <c r="P86" s="138" t="s">
        <v>2</v>
      </c>
      <c r="Q86" s="139"/>
      <c r="R86" s="392">
        <v>0.185</v>
      </c>
      <c r="S86" s="393">
        <f t="shared" si="21"/>
        <v>0</v>
      </c>
      <c r="T86" s="387" t="e">
        <f t="shared" si="22"/>
        <v>#DIV/0!</v>
      </c>
      <c r="U86" s="141">
        <f t="shared" si="17"/>
        <v>45241</v>
      </c>
      <c r="V86" s="142">
        <v>45385</v>
      </c>
      <c r="W86" s="143" t="s">
        <v>239</v>
      </c>
      <c r="X86" s="476"/>
      <c r="Y86" s="135" t="str">
        <f t="shared" si="23"/>
        <v/>
      </c>
      <c r="Z86" s="426" t="str">
        <f t="shared" si="24"/>
        <v/>
      </c>
      <c r="AA86" s="136" t="str">
        <f t="shared" si="25"/>
        <v>x</v>
      </c>
      <c r="AB86" s="185"/>
      <c r="AC86" s="185"/>
      <c r="AD86" s="185"/>
      <c r="AE86" s="185"/>
      <c r="AF86" s="185"/>
    </row>
    <row r="87" spans="1:32" s="115" customFormat="1" ht="16" customHeight="1">
      <c r="A87" s="273">
        <v>45243</v>
      </c>
      <c r="B87" s="109" t="s">
        <v>38</v>
      </c>
      <c r="C87" s="137" t="s">
        <v>54</v>
      </c>
      <c r="D87" s="384" t="s">
        <v>240</v>
      </c>
      <c r="E87" s="138"/>
      <c r="F87" s="109"/>
      <c r="G87" s="133">
        <v>1288</v>
      </c>
      <c r="H87" s="133">
        <v>359</v>
      </c>
      <c r="I87" s="109"/>
      <c r="J87" s="109"/>
      <c r="K87" s="133"/>
      <c r="L87" s="109"/>
      <c r="M87" s="109"/>
      <c r="N87" s="109"/>
      <c r="O87" s="391"/>
      <c r="P87" s="138" t="s">
        <v>5</v>
      </c>
      <c r="Q87" s="139">
        <v>949430</v>
      </c>
      <c r="R87" s="392">
        <v>0.18060000000000001</v>
      </c>
      <c r="S87" s="393">
        <f t="shared" si="21"/>
        <v>171467.05800000002</v>
      </c>
      <c r="T87" s="387">
        <f t="shared" si="22"/>
        <v>737.13509316770183</v>
      </c>
      <c r="U87" s="141">
        <f t="shared" si="17"/>
        <v>45303</v>
      </c>
      <c r="V87" s="142">
        <v>45385</v>
      </c>
      <c r="W87" s="143"/>
      <c r="X87" s="476"/>
      <c r="Y87" s="135" t="str">
        <f t="shared" si="23"/>
        <v/>
      </c>
      <c r="Z87" s="426" t="str">
        <f t="shared" si="24"/>
        <v/>
      </c>
      <c r="AA87" s="136" t="str">
        <f t="shared" si="25"/>
        <v/>
      </c>
      <c r="AB87" s="185"/>
      <c r="AC87" s="185"/>
      <c r="AD87" s="185"/>
      <c r="AE87" s="185"/>
      <c r="AF87" s="185"/>
    </row>
    <row r="88" spans="1:32" s="115" customFormat="1" ht="16" customHeight="1">
      <c r="A88" s="106">
        <v>45182</v>
      </c>
      <c r="B88" s="109" t="s">
        <v>38</v>
      </c>
      <c r="C88" s="107" t="s">
        <v>54</v>
      </c>
      <c r="D88" s="137" t="s">
        <v>241</v>
      </c>
      <c r="E88" s="138"/>
      <c r="F88" s="109" t="s">
        <v>83</v>
      </c>
      <c r="G88" s="133">
        <v>4629</v>
      </c>
      <c r="H88" s="133">
        <v>1235</v>
      </c>
      <c r="I88" s="110"/>
      <c r="J88" s="133"/>
      <c r="K88" s="133"/>
      <c r="L88" s="133"/>
      <c r="M88" s="133"/>
      <c r="N88" s="133"/>
      <c r="O88" s="391"/>
      <c r="P88" s="109" t="s">
        <v>7</v>
      </c>
      <c r="Q88" s="139">
        <v>2750144</v>
      </c>
      <c r="R88" s="392">
        <v>0.14019999999999999</v>
      </c>
      <c r="S88" s="393">
        <f t="shared" si="21"/>
        <v>385570.1888</v>
      </c>
      <c r="T88" s="387">
        <f t="shared" si="22"/>
        <v>594.11190321883771</v>
      </c>
      <c r="U88" s="141">
        <f t="shared" si="17"/>
        <v>45242</v>
      </c>
      <c r="V88" s="144"/>
      <c r="W88" s="143"/>
      <c r="X88" s="476"/>
      <c r="Y88" s="135" t="str">
        <f t="shared" si="23"/>
        <v>x</v>
      </c>
      <c r="Z88" s="426" t="str">
        <f t="shared" si="24"/>
        <v>x</v>
      </c>
      <c r="AA88" s="136" t="str">
        <f t="shared" si="25"/>
        <v/>
      </c>
      <c r="AB88" s="185"/>
      <c r="AC88" s="185"/>
      <c r="AD88" s="185"/>
      <c r="AE88" s="185"/>
      <c r="AF88" s="185"/>
    </row>
    <row r="89" spans="1:32" s="115" customFormat="1" ht="16" customHeight="1">
      <c r="A89" s="273">
        <v>45184</v>
      </c>
      <c r="B89" s="109" t="s">
        <v>38</v>
      </c>
      <c r="C89" s="137" t="s">
        <v>54</v>
      </c>
      <c r="D89" s="137" t="s">
        <v>242</v>
      </c>
      <c r="E89" s="138"/>
      <c r="F89" s="109" t="s">
        <v>243</v>
      </c>
      <c r="G89" s="133">
        <v>2378</v>
      </c>
      <c r="H89" s="133">
        <v>738</v>
      </c>
      <c r="I89" s="109"/>
      <c r="J89" s="109"/>
      <c r="K89" s="133"/>
      <c r="L89" s="109"/>
      <c r="M89" s="109"/>
      <c r="N89" s="109"/>
      <c r="O89" s="391"/>
      <c r="P89" s="138" t="s">
        <v>7</v>
      </c>
      <c r="Q89" s="139">
        <v>1666410</v>
      </c>
      <c r="R89" s="392">
        <v>0.13120000000000001</v>
      </c>
      <c r="S89" s="393">
        <f t="shared" si="21"/>
        <v>218632.99200000003</v>
      </c>
      <c r="T89" s="387">
        <f t="shared" si="22"/>
        <v>700.76114381833474</v>
      </c>
      <c r="U89" s="141">
        <f t="shared" si="17"/>
        <v>45244</v>
      </c>
      <c r="V89" s="142"/>
      <c r="W89" s="143"/>
      <c r="X89" s="476"/>
      <c r="Y89" s="135" t="str">
        <f t="shared" si="23"/>
        <v>x</v>
      </c>
      <c r="Z89" s="426" t="str">
        <f t="shared" si="24"/>
        <v>x</v>
      </c>
      <c r="AA89" s="136" t="str">
        <f t="shared" si="25"/>
        <v/>
      </c>
      <c r="AB89" s="185"/>
      <c r="AC89" s="185"/>
      <c r="AD89" s="185"/>
      <c r="AE89" s="185"/>
      <c r="AF89" s="185"/>
    </row>
    <row r="90" spans="1:32" s="115" customFormat="1" ht="16" customHeight="1">
      <c r="A90" s="106">
        <v>45188</v>
      </c>
      <c r="B90" s="109" t="s">
        <v>38</v>
      </c>
      <c r="C90" s="107" t="s">
        <v>186</v>
      </c>
      <c r="D90" s="137" t="s">
        <v>244</v>
      </c>
      <c r="E90" s="138"/>
      <c r="F90" s="109" t="s">
        <v>245</v>
      </c>
      <c r="G90" s="133">
        <v>3198</v>
      </c>
      <c r="H90" s="133">
        <v>860</v>
      </c>
      <c r="I90" s="110"/>
      <c r="J90" s="133"/>
      <c r="K90" s="133"/>
      <c r="L90" s="133"/>
      <c r="M90" s="133"/>
      <c r="N90" s="133"/>
      <c r="O90" s="391"/>
      <c r="P90" s="109" t="s">
        <v>5</v>
      </c>
      <c r="Q90" s="139">
        <v>2268630</v>
      </c>
      <c r="R90" s="392">
        <v>0.1414</v>
      </c>
      <c r="S90" s="393">
        <f t="shared" si="21"/>
        <v>320784.28200000001</v>
      </c>
      <c r="T90" s="387">
        <f t="shared" si="22"/>
        <v>709.39024390243901</v>
      </c>
      <c r="U90" s="141">
        <f t="shared" si="17"/>
        <v>45248</v>
      </c>
      <c r="V90" s="142">
        <v>45385</v>
      </c>
      <c r="W90" s="143" t="s">
        <v>246</v>
      </c>
      <c r="X90" s="476"/>
      <c r="Y90" s="135" t="str">
        <f t="shared" si="23"/>
        <v/>
      </c>
      <c r="Z90" s="426" t="str">
        <f t="shared" si="24"/>
        <v/>
      </c>
      <c r="AA90" s="136" t="str">
        <f t="shared" si="25"/>
        <v/>
      </c>
      <c r="AB90" s="185"/>
      <c r="AC90" s="185"/>
      <c r="AD90" s="185"/>
      <c r="AE90" s="185"/>
      <c r="AF90" s="185"/>
    </row>
    <row r="91" spans="1:32" s="115" customFormat="1" ht="16" customHeight="1">
      <c r="A91" s="106">
        <v>45376</v>
      </c>
      <c r="B91" s="109" t="s">
        <v>38</v>
      </c>
      <c r="C91" s="107" t="s">
        <v>54</v>
      </c>
      <c r="D91" s="394" t="s">
        <v>247</v>
      </c>
      <c r="E91" s="138"/>
      <c r="F91" s="109" t="s">
        <v>245</v>
      </c>
      <c r="G91" s="133">
        <v>1621</v>
      </c>
      <c r="H91" s="133">
        <f>374-35</f>
        <v>339</v>
      </c>
      <c r="I91" s="110"/>
      <c r="J91" s="133"/>
      <c r="K91" s="133"/>
      <c r="L91" s="133"/>
      <c r="M91" s="133"/>
      <c r="N91" s="133"/>
      <c r="O91" s="391"/>
      <c r="P91" s="109" t="s">
        <v>3</v>
      </c>
      <c r="Q91" s="139">
        <v>1148690</v>
      </c>
      <c r="R91" s="392">
        <v>0.2</v>
      </c>
      <c r="S91" s="393">
        <f t="shared" si="21"/>
        <v>229738</v>
      </c>
      <c r="T91" s="387">
        <f t="shared" si="22"/>
        <v>708.63047501542258</v>
      </c>
      <c r="U91" s="141">
        <f t="shared" si="17"/>
        <v>45436</v>
      </c>
      <c r="V91" s="144"/>
      <c r="W91" s="143" t="s">
        <v>248</v>
      </c>
      <c r="X91" s="476"/>
      <c r="Y91" s="135" t="str">
        <f t="shared" si="23"/>
        <v>x</v>
      </c>
      <c r="Z91" s="426" t="str">
        <f t="shared" si="24"/>
        <v/>
      </c>
      <c r="AA91" s="136" t="str">
        <f t="shared" si="25"/>
        <v/>
      </c>
      <c r="AB91" s="185"/>
      <c r="AC91" s="185"/>
      <c r="AD91" s="185"/>
      <c r="AE91" s="185"/>
      <c r="AF91" s="185"/>
    </row>
    <row r="92" spans="1:32" s="115" customFormat="1" ht="16" customHeight="1">
      <c r="A92" s="273">
        <v>45191</v>
      </c>
      <c r="B92" s="109" t="s">
        <v>38</v>
      </c>
      <c r="C92" s="137" t="s">
        <v>54</v>
      </c>
      <c r="D92" s="137" t="s">
        <v>249</v>
      </c>
      <c r="E92" s="138"/>
      <c r="F92" s="109" t="s">
        <v>250</v>
      </c>
      <c r="G92" s="133">
        <f>1325*10</f>
        <v>13250</v>
      </c>
      <c r="H92" s="133">
        <f>348*10</f>
        <v>3480</v>
      </c>
      <c r="I92" s="109"/>
      <c r="J92" s="109"/>
      <c r="K92" s="133"/>
      <c r="L92" s="109"/>
      <c r="M92" s="109"/>
      <c r="N92" s="109"/>
      <c r="O92" s="391"/>
      <c r="P92" s="138" t="s">
        <v>7</v>
      </c>
      <c r="Q92" s="139">
        <f>915200*10</f>
        <v>9152000</v>
      </c>
      <c r="R92" s="392">
        <v>0.18</v>
      </c>
      <c r="S92" s="393">
        <f t="shared" si="21"/>
        <v>1647360</v>
      </c>
      <c r="T92" s="387">
        <f t="shared" si="22"/>
        <v>690.71698113207549</v>
      </c>
      <c r="U92" s="141">
        <f t="shared" si="17"/>
        <v>45251</v>
      </c>
      <c r="V92" s="142"/>
      <c r="W92" s="143"/>
      <c r="X92" s="476"/>
      <c r="Y92" s="135" t="str">
        <f t="shared" si="23"/>
        <v>x</v>
      </c>
      <c r="Z92" s="426" t="str">
        <f t="shared" si="24"/>
        <v>x</v>
      </c>
      <c r="AA92" s="136" t="str">
        <f t="shared" si="25"/>
        <v/>
      </c>
      <c r="AB92" s="185"/>
      <c r="AC92" s="185"/>
      <c r="AD92" s="185"/>
      <c r="AE92" s="185"/>
      <c r="AF92" s="185"/>
    </row>
    <row r="93" spans="1:32" s="115" customFormat="1" ht="16" customHeight="1">
      <c r="A93" s="273">
        <v>45364</v>
      </c>
      <c r="B93" s="109" t="s">
        <v>38</v>
      </c>
      <c r="C93" s="137" t="s">
        <v>54</v>
      </c>
      <c r="D93" s="137" t="s">
        <v>251</v>
      </c>
      <c r="E93" s="138"/>
      <c r="F93" s="109" t="s">
        <v>61</v>
      </c>
      <c r="G93" s="133">
        <v>7116</v>
      </c>
      <c r="H93" s="133">
        <v>2268</v>
      </c>
      <c r="I93" s="109"/>
      <c r="J93" s="109"/>
      <c r="K93" s="133"/>
      <c r="L93" s="109"/>
      <c r="M93" s="109"/>
      <c r="N93" s="109"/>
      <c r="O93" s="391"/>
      <c r="P93" s="138" t="s">
        <v>5</v>
      </c>
      <c r="Q93" s="139">
        <v>5608850</v>
      </c>
      <c r="R93" s="392">
        <v>0.17</v>
      </c>
      <c r="S93" s="393">
        <f t="shared" si="21"/>
        <v>953504.50000000012</v>
      </c>
      <c r="T93" s="387">
        <f t="shared" si="22"/>
        <v>788.20264193367063</v>
      </c>
      <c r="U93" s="141">
        <f t="shared" si="17"/>
        <v>45424</v>
      </c>
      <c r="V93" s="142">
        <v>45385</v>
      </c>
      <c r="W93" s="143" t="s">
        <v>252</v>
      </c>
      <c r="X93" s="476">
        <v>1</v>
      </c>
      <c r="Y93" s="135" t="str">
        <f t="shared" si="23"/>
        <v/>
      </c>
      <c r="Z93" s="426" t="str">
        <f t="shared" si="24"/>
        <v/>
      </c>
      <c r="AA93" s="136" t="str">
        <f t="shared" si="25"/>
        <v/>
      </c>
      <c r="AB93" s="185"/>
      <c r="AC93" s="185"/>
      <c r="AD93" s="185"/>
      <c r="AE93" s="185"/>
      <c r="AF93" s="185"/>
    </row>
    <row r="94" spans="1:32" s="115" customFormat="1" ht="16" customHeight="1">
      <c r="A94" s="106">
        <v>45196</v>
      </c>
      <c r="B94" s="109" t="s">
        <v>38</v>
      </c>
      <c r="C94" s="107" t="s">
        <v>54</v>
      </c>
      <c r="D94" s="137" t="s">
        <v>253</v>
      </c>
      <c r="E94" s="138"/>
      <c r="F94" s="109" t="s">
        <v>254</v>
      </c>
      <c r="G94" s="133">
        <v>2658</v>
      </c>
      <c r="H94" s="133">
        <v>781</v>
      </c>
      <c r="I94" s="110"/>
      <c r="J94" s="133"/>
      <c r="K94" s="133"/>
      <c r="L94" s="133"/>
      <c r="M94" s="133"/>
      <c r="N94" s="133"/>
      <c r="O94" s="391"/>
      <c r="P94" s="109" t="s">
        <v>5</v>
      </c>
      <c r="Q94" s="139">
        <v>1987470</v>
      </c>
      <c r="R94" s="392">
        <v>0.17280000000000001</v>
      </c>
      <c r="S94" s="393">
        <f t="shared" si="21"/>
        <v>343434.81599999999</v>
      </c>
      <c r="T94" s="387">
        <f t="shared" si="22"/>
        <v>747.73137697516927</v>
      </c>
      <c r="U94" s="141">
        <f t="shared" si="17"/>
        <v>45256</v>
      </c>
      <c r="V94" s="142">
        <v>45385</v>
      </c>
      <c r="W94" s="143" t="s">
        <v>255</v>
      </c>
      <c r="X94" s="476"/>
      <c r="Y94" s="135" t="str">
        <f t="shared" si="23"/>
        <v/>
      </c>
      <c r="Z94" s="426" t="str">
        <f t="shared" si="24"/>
        <v/>
      </c>
      <c r="AA94" s="136" t="str">
        <f t="shared" si="25"/>
        <v/>
      </c>
      <c r="AB94" s="185"/>
      <c r="AC94" s="185"/>
      <c r="AD94" s="185"/>
      <c r="AE94" s="185"/>
      <c r="AF94" s="185"/>
    </row>
    <row r="95" spans="1:32" s="115" customFormat="1" ht="16" customHeight="1">
      <c r="A95" s="273">
        <v>45197</v>
      </c>
      <c r="B95" s="109" t="s">
        <v>38</v>
      </c>
      <c r="C95" s="107" t="s">
        <v>54</v>
      </c>
      <c r="D95" s="137" t="s">
        <v>256</v>
      </c>
      <c r="E95" s="138"/>
      <c r="F95" s="109" t="s">
        <v>243</v>
      </c>
      <c r="G95" s="133">
        <v>1277</v>
      </c>
      <c r="H95" s="133">
        <v>396</v>
      </c>
      <c r="I95" s="109"/>
      <c r="J95" s="109"/>
      <c r="K95" s="133"/>
      <c r="L95" s="109"/>
      <c r="M95" s="109"/>
      <c r="N95" s="109"/>
      <c r="O95" s="391"/>
      <c r="P95" s="138" t="s">
        <v>5</v>
      </c>
      <c r="Q95" s="139">
        <v>948300</v>
      </c>
      <c r="R95" s="392">
        <v>0.18</v>
      </c>
      <c r="S95" s="393">
        <f t="shared" si="21"/>
        <v>170694</v>
      </c>
      <c r="T95" s="387">
        <f t="shared" si="22"/>
        <v>742.59984338292873</v>
      </c>
      <c r="U95" s="141">
        <f t="shared" si="17"/>
        <v>45257</v>
      </c>
      <c r="V95" s="142">
        <v>45385</v>
      </c>
      <c r="W95" s="143"/>
      <c r="X95" s="476"/>
      <c r="Y95" s="135" t="str">
        <f t="shared" si="23"/>
        <v/>
      </c>
      <c r="Z95" s="426" t="str">
        <f t="shared" si="24"/>
        <v/>
      </c>
      <c r="AA95" s="136" t="str">
        <f t="shared" si="25"/>
        <v/>
      </c>
      <c r="AB95" s="185"/>
      <c r="AC95" s="185"/>
      <c r="AD95" s="185"/>
      <c r="AE95" s="185"/>
      <c r="AF95" s="185"/>
    </row>
    <row r="96" spans="1:32" s="115" customFormat="1" ht="16" customHeight="1">
      <c r="A96" s="273">
        <v>45197</v>
      </c>
      <c r="B96" s="109" t="s">
        <v>38</v>
      </c>
      <c r="C96" s="107" t="s">
        <v>54</v>
      </c>
      <c r="D96" s="137" t="s">
        <v>257</v>
      </c>
      <c r="E96" s="138"/>
      <c r="F96" s="109" t="s">
        <v>243</v>
      </c>
      <c r="G96" s="133">
        <v>1757</v>
      </c>
      <c r="H96" s="133">
        <v>489</v>
      </c>
      <c r="I96" s="109"/>
      <c r="J96" s="109"/>
      <c r="K96" s="133"/>
      <c r="L96" s="109"/>
      <c r="M96" s="109"/>
      <c r="N96" s="109"/>
      <c r="O96" s="391"/>
      <c r="P96" s="138" t="s">
        <v>5</v>
      </c>
      <c r="Q96" s="139">
        <v>1212660</v>
      </c>
      <c r="R96" s="392">
        <v>0.18</v>
      </c>
      <c r="S96" s="393">
        <f t="shared" si="21"/>
        <v>218278.8</v>
      </c>
      <c r="T96" s="387">
        <f t="shared" si="22"/>
        <v>690.18782014797955</v>
      </c>
      <c r="U96" s="141">
        <f t="shared" si="17"/>
        <v>45257</v>
      </c>
      <c r="V96" s="142">
        <v>45385</v>
      </c>
      <c r="W96" s="143"/>
      <c r="X96" s="476"/>
      <c r="Y96" s="135" t="str">
        <f t="shared" si="23"/>
        <v/>
      </c>
      <c r="Z96" s="426" t="str">
        <f t="shared" si="24"/>
        <v/>
      </c>
      <c r="AA96" s="136" t="str">
        <f t="shared" si="25"/>
        <v/>
      </c>
      <c r="AB96" s="185"/>
      <c r="AC96" s="185"/>
      <c r="AD96" s="185"/>
      <c r="AE96" s="185"/>
      <c r="AF96" s="185"/>
    </row>
    <row r="97" spans="1:32" s="115" customFormat="1" ht="16" customHeight="1">
      <c r="A97" s="273">
        <v>45197</v>
      </c>
      <c r="B97" s="109" t="s">
        <v>38</v>
      </c>
      <c r="C97" s="107" t="s">
        <v>54</v>
      </c>
      <c r="D97" s="137" t="s">
        <v>258</v>
      </c>
      <c r="E97" s="138"/>
      <c r="F97" s="109" t="s">
        <v>65</v>
      </c>
      <c r="G97" s="133">
        <v>3029</v>
      </c>
      <c r="H97" s="133">
        <v>771</v>
      </c>
      <c r="I97" s="109"/>
      <c r="J97" s="109"/>
      <c r="K97" s="133"/>
      <c r="L97" s="109"/>
      <c r="M97" s="109"/>
      <c r="N97" s="109"/>
      <c r="O97" s="391"/>
      <c r="P97" s="138" t="s">
        <v>5</v>
      </c>
      <c r="Q97" s="139">
        <v>1979810</v>
      </c>
      <c r="R97" s="392">
        <v>0.18</v>
      </c>
      <c r="S97" s="393">
        <f t="shared" si="21"/>
        <v>356365.8</v>
      </c>
      <c r="T97" s="387">
        <f t="shared" si="22"/>
        <v>653.61835589303405</v>
      </c>
      <c r="U97" s="141">
        <f t="shared" si="17"/>
        <v>45257</v>
      </c>
      <c r="V97" s="142">
        <v>45385</v>
      </c>
      <c r="W97" s="143"/>
      <c r="X97" s="476"/>
      <c r="Y97" s="135" t="str">
        <f t="shared" si="23"/>
        <v/>
      </c>
      <c r="Z97" s="426" t="str">
        <f t="shared" si="24"/>
        <v/>
      </c>
      <c r="AA97" s="136" t="str">
        <f t="shared" si="25"/>
        <v/>
      </c>
      <c r="AB97" s="185"/>
      <c r="AC97" s="185"/>
      <c r="AD97" s="185"/>
      <c r="AE97" s="185"/>
      <c r="AF97" s="185"/>
    </row>
    <row r="98" spans="1:32" s="115" customFormat="1" ht="16" customHeight="1">
      <c r="A98" s="273">
        <v>45201</v>
      </c>
      <c r="B98" s="109" t="s">
        <v>38</v>
      </c>
      <c r="C98" s="137" t="s">
        <v>54</v>
      </c>
      <c r="D98" s="137" t="s">
        <v>259</v>
      </c>
      <c r="E98" s="138"/>
      <c r="F98" s="109" t="s">
        <v>260</v>
      </c>
      <c r="G98" s="133">
        <v>3934</v>
      </c>
      <c r="H98" s="133">
        <v>1135</v>
      </c>
      <c r="I98" s="109"/>
      <c r="J98" s="109"/>
      <c r="K98" s="133"/>
      <c r="L98" s="109"/>
      <c r="M98" s="109"/>
      <c r="N98" s="109"/>
      <c r="O98" s="391"/>
      <c r="P98" s="138" t="s">
        <v>5</v>
      </c>
      <c r="Q98" s="139">
        <v>2715620</v>
      </c>
      <c r="R98" s="392">
        <v>0.16489999999999999</v>
      </c>
      <c r="S98" s="393">
        <f t="shared" si="21"/>
        <v>447805.73799999995</v>
      </c>
      <c r="T98" s="387">
        <f t="shared" si="22"/>
        <v>690.29486527707172</v>
      </c>
      <c r="U98" s="141">
        <f t="shared" si="17"/>
        <v>45261</v>
      </c>
      <c r="V98" s="142">
        <v>45385</v>
      </c>
      <c r="W98" s="143" t="s">
        <v>261</v>
      </c>
      <c r="X98" s="476"/>
      <c r="Y98" s="135" t="str">
        <f t="shared" si="23"/>
        <v/>
      </c>
      <c r="Z98" s="426" t="str">
        <f t="shared" si="24"/>
        <v/>
      </c>
      <c r="AA98" s="136" t="str">
        <f t="shared" si="25"/>
        <v/>
      </c>
      <c r="AB98" s="185"/>
      <c r="AC98" s="185"/>
      <c r="AD98" s="185"/>
      <c r="AE98" s="185"/>
      <c r="AF98" s="185"/>
    </row>
    <row r="99" spans="1:32" s="115" customFormat="1" ht="16" customHeight="1">
      <c r="A99" s="273">
        <v>45208</v>
      </c>
      <c r="B99" s="109" t="s">
        <v>38</v>
      </c>
      <c r="C99" s="137" t="s">
        <v>54</v>
      </c>
      <c r="D99" s="137" t="s">
        <v>262</v>
      </c>
      <c r="E99" s="138"/>
      <c r="F99" s="109" t="s">
        <v>263</v>
      </c>
      <c r="G99" s="133">
        <v>1624</v>
      </c>
      <c r="H99" s="133">
        <v>433</v>
      </c>
      <c r="I99" s="109"/>
      <c r="J99" s="109"/>
      <c r="K99" s="133"/>
      <c r="L99" s="109"/>
      <c r="M99" s="109"/>
      <c r="N99" s="109"/>
      <c r="O99" s="391"/>
      <c r="P99" s="138" t="s">
        <v>5</v>
      </c>
      <c r="Q99" s="139">
        <v>1140880</v>
      </c>
      <c r="R99" s="392">
        <v>0.1724</v>
      </c>
      <c r="S99" s="393">
        <f t="shared" si="21"/>
        <v>196687.712</v>
      </c>
      <c r="T99" s="387">
        <f t="shared" si="22"/>
        <v>702.51231527093591</v>
      </c>
      <c r="U99" s="141">
        <f t="shared" si="17"/>
        <v>45268</v>
      </c>
      <c r="V99" s="142">
        <v>45385</v>
      </c>
      <c r="W99" s="143"/>
      <c r="X99" s="476"/>
      <c r="Y99" s="135" t="str">
        <f t="shared" si="23"/>
        <v/>
      </c>
      <c r="Z99" s="426" t="str">
        <f t="shared" si="24"/>
        <v/>
      </c>
      <c r="AA99" s="136" t="str">
        <f t="shared" si="25"/>
        <v/>
      </c>
      <c r="AB99" s="185"/>
      <c r="AC99" s="185"/>
      <c r="AD99" s="185"/>
      <c r="AE99" s="185"/>
      <c r="AF99" s="185"/>
    </row>
    <row r="100" spans="1:32" s="115" customFormat="1" ht="16" customHeight="1">
      <c r="A100" s="273">
        <v>45211</v>
      </c>
      <c r="B100" s="109" t="s">
        <v>38</v>
      </c>
      <c r="C100" s="137" t="s">
        <v>54</v>
      </c>
      <c r="D100" s="137" t="s">
        <v>264</v>
      </c>
      <c r="E100" s="137"/>
      <c r="F100" s="109" t="s">
        <v>265</v>
      </c>
      <c r="G100" s="133">
        <v>3580</v>
      </c>
      <c r="H100" s="133">
        <v>933</v>
      </c>
      <c r="I100" s="109"/>
      <c r="J100" s="109"/>
      <c r="K100" s="133"/>
      <c r="L100" s="109"/>
      <c r="M100" s="109"/>
      <c r="N100" s="109"/>
      <c r="O100" s="391"/>
      <c r="P100" s="138" t="s">
        <v>2</v>
      </c>
      <c r="Q100" s="139">
        <v>2240059</v>
      </c>
      <c r="R100" s="392">
        <v>0.15</v>
      </c>
      <c r="S100" s="393">
        <f t="shared" si="21"/>
        <v>336008.85</v>
      </c>
      <c r="T100" s="387">
        <f t="shared" si="22"/>
        <v>625.71480446927376</v>
      </c>
      <c r="U100" s="141">
        <f t="shared" si="17"/>
        <v>45271</v>
      </c>
      <c r="V100" s="142">
        <v>45385</v>
      </c>
      <c r="W100" s="143"/>
      <c r="X100" s="476"/>
      <c r="Y100" s="135" t="str">
        <f t="shared" si="23"/>
        <v/>
      </c>
      <c r="Z100" s="426" t="str">
        <f t="shared" si="24"/>
        <v/>
      </c>
      <c r="AA100" s="136" t="str">
        <f t="shared" si="25"/>
        <v>x</v>
      </c>
      <c r="AB100" s="185"/>
      <c r="AC100" s="185"/>
      <c r="AD100" s="185"/>
      <c r="AE100" s="185"/>
      <c r="AF100" s="185"/>
    </row>
    <row r="101" spans="1:32" s="115" customFormat="1" ht="16" customHeight="1">
      <c r="A101" s="273">
        <v>45217</v>
      </c>
      <c r="B101" s="109" t="s">
        <v>38</v>
      </c>
      <c r="C101" s="137" t="s">
        <v>54</v>
      </c>
      <c r="D101" s="137" t="s">
        <v>266</v>
      </c>
      <c r="E101" s="137"/>
      <c r="F101" s="109" t="s">
        <v>267</v>
      </c>
      <c r="G101" s="133">
        <v>1967</v>
      </c>
      <c r="H101" s="133">
        <v>619</v>
      </c>
      <c r="I101" s="109"/>
      <c r="J101" s="109"/>
      <c r="K101" s="133"/>
      <c r="L101" s="109"/>
      <c r="M101" s="109"/>
      <c r="N101" s="109"/>
      <c r="O101" s="391"/>
      <c r="P101" s="138" t="s">
        <v>2</v>
      </c>
      <c r="Q101" s="139">
        <v>2383220</v>
      </c>
      <c r="R101" s="392">
        <v>0.15</v>
      </c>
      <c r="S101" s="393">
        <f t="shared" si="21"/>
        <v>357483</v>
      </c>
      <c r="T101" s="387">
        <f t="shared" si="22"/>
        <v>1211.6014234875445</v>
      </c>
      <c r="U101" s="141">
        <f t="shared" si="17"/>
        <v>45277</v>
      </c>
      <c r="V101" s="142">
        <v>45385</v>
      </c>
      <c r="W101" s="143" t="s">
        <v>268</v>
      </c>
      <c r="X101" s="476"/>
      <c r="Y101" s="135" t="str">
        <f t="shared" si="23"/>
        <v/>
      </c>
      <c r="Z101" s="426" t="str">
        <f t="shared" si="24"/>
        <v/>
      </c>
      <c r="AA101" s="136" t="str">
        <f t="shared" si="25"/>
        <v>x</v>
      </c>
      <c r="AB101" s="185"/>
      <c r="AC101" s="185"/>
      <c r="AD101" s="185"/>
      <c r="AE101" s="185"/>
      <c r="AF101" s="185"/>
    </row>
    <row r="102" spans="1:32" s="115" customFormat="1" ht="16" customHeight="1">
      <c r="A102" s="273">
        <v>45215</v>
      </c>
      <c r="B102" s="109" t="s">
        <v>38</v>
      </c>
      <c r="C102" s="137" t="s">
        <v>269</v>
      </c>
      <c r="D102" s="137" t="s">
        <v>270</v>
      </c>
      <c r="E102" s="138"/>
      <c r="F102" s="109" t="s">
        <v>265</v>
      </c>
      <c r="G102" s="133">
        <v>1332</v>
      </c>
      <c r="H102" s="133">
        <f>399+60</f>
        <v>459</v>
      </c>
      <c r="I102" s="109"/>
      <c r="J102" s="109"/>
      <c r="K102" s="133"/>
      <c r="L102" s="109"/>
      <c r="M102" s="109"/>
      <c r="N102" s="109"/>
      <c r="O102" s="391"/>
      <c r="P102" s="138" t="s">
        <v>5</v>
      </c>
      <c r="Q102" s="139">
        <v>1108500</v>
      </c>
      <c r="R102" s="392">
        <v>0.14000000000000001</v>
      </c>
      <c r="S102" s="393">
        <f t="shared" si="21"/>
        <v>155190.00000000003</v>
      </c>
      <c r="T102" s="387">
        <f t="shared" si="22"/>
        <v>832.20720720720726</v>
      </c>
      <c r="U102" s="141">
        <f t="shared" si="17"/>
        <v>45275</v>
      </c>
      <c r="V102" s="142">
        <v>45385</v>
      </c>
      <c r="W102" s="143"/>
      <c r="X102" s="476"/>
      <c r="Y102" s="135" t="str">
        <f t="shared" si="23"/>
        <v/>
      </c>
      <c r="Z102" s="426" t="str">
        <f t="shared" si="24"/>
        <v/>
      </c>
      <c r="AA102" s="136" t="str">
        <f t="shared" si="25"/>
        <v/>
      </c>
      <c r="AB102" s="185"/>
      <c r="AC102" s="185"/>
      <c r="AD102" s="185"/>
      <c r="AE102" s="185"/>
      <c r="AF102" s="185"/>
    </row>
    <row r="103" spans="1:32" s="115" customFormat="1" ht="16" customHeight="1">
      <c r="A103" s="273">
        <v>45229</v>
      </c>
      <c r="B103" s="109" t="s">
        <v>38</v>
      </c>
      <c r="C103" s="137" t="s">
        <v>54</v>
      </c>
      <c r="D103" s="137" t="s">
        <v>271</v>
      </c>
      <c r="E103" s="137"/>
      <c r="F103" s="109" t="s">
        <v>272</v>
      </c>
      <c r="G103" s="133">
        <v>1514</v>
      </c>
      <c r="H103" s="133">
        <f>452-42</f>
        <v>410</v>
      </c>
      <c r="I103" s="109"/>
      <c r="J103" s="109"/>
      <c r="K103" s="133"/>
      <c r="L103" s="109"/>
      <c r="M103" s="109"/>
      <c r="N103" s="109"/>
      <c r="O103" s="391"/>
      <c r="P103" s="138" t="s">
        <v>2</v>
      </c>
      <c r="Q103" s="139">
        <v>1063290</v>
      </c>
      <c r="R103" s="392">
        <v>0.17</v>
      </c>
      <c r="S103" s="393">
        <f t="shared" si="21"/>
        <v>180759.30000000002</v>
      </c>
      <c r="T103" s="387">
        <f t="shared" si="22"/>
        <v>702.30515191545578</v>
      </c>
      <c r="U103" s="141">
        <f t="shared" si="17"/>
        <v>45289</v>
      </c>
      <c r="V103" s="142"/>
      <c r="W103" s="143"/>
      <c r="X103" s="476"/>
      <c r="Y103" s="135" t="str">
        <f t="shared" si="23"/>
        <v/>
      </c>
      <c r="Z103" s="426" t="str">
        <f t="shared" si="24"/>
        <v/>
      </c>
      <c r="AA103" s="136" t="str">
        <f t="shared" si="25"/>
        <v>x</v>
      </c>
      <c r="AB103" s="185"/>
      <c r="AC103" s="185"/>
      <c r="AD103" s="185"/>
      <c r="AE103" s="185"/>
      <c r="AF103" s="185"/>
    </row>
    <row r="104" spans="1:32" s="115" customFormat="1" ht="16" customHeight="1">
      <c r="A104" s="273">
        <v>45224</v>
      </c>
      <c r="B104" s="109" t="s">
        <v>38</v>
      </c>
      <c r="C104" s="137" t="s">
        <v>54</v>
      </c>
      <c r="D104" s="137" t="s">
        <v>273</v>
      </c>
      <c r="E104" s="138"/>
      <c r="F104" s="109" t="s">
        <v>126</v>
      </c>
      <c r="G104" s="133">
        <v>1320</v>
      </c>
      <c r="H104" s="133">
        <v>333</v>
      </c>
      <c r="I104" s="109"/>
      <c r="J104" s="109"/>
      <c r="K104" s="133"/>
      <c r="L104" s="109"/>
      <c r="M104" s="109"/>
      <c r="N104" s="109"/>
      <c r="O104" s="391"/>
      <c r="P104" s="138" t="s">
        <v>5</v>
      </c>
      <c r="Q104" s="139">
        <v>732060</v>
      </c>
      <c r="R104" s="392">
        <v>0.15</v>
      </c>
      <c r="S104" s="393">
        <f t="shared" si="21"/>
        <v>109809</v>
      </c>
      <c r="T104" s="387">
        <f t="shared" si="22"/>
        <v>554.59090909090912</v>
      </c>
      <c r="U104" s="141">
        <f t="shared" si="17"/>
        <v>45284</v>
      </c>
      <c r="V104" s="142">
        <v>45385</v>
      </c>
      <c r="W104" s="143" t="s">
        <v>274</v>
      </c>
      <c r="X104" s="476"/>
      <c r="Y104" s="135" t="str">
        <f t="shared" si="23"/>
        <v/>
      </c>
      <c r="Z104" s="426" t="str">
        <f t="shared" si="24"/>
        <v/>
      </c>
      <c r="AA104" s="136" t="str">
        <f t="shared" si="25"/>
        <v/>
      </c>
      <c r="AB104" s="185"/>
      <c r="AC104" s="185"/>
      <c r="AD104" s="185"/>
      <c r="AE104" s="185"/>
      <c r="AF104" s="185"/>
    </row>
    <row r="105" spans="1:32" s="115" customFormat="1" ht="16" customHeight="1">
      <c r="A105" s="273">
        <v>45237</v>
      </c>
      <c r="B105" s="109" t="s">
        <v>38</v>
      </c>
      <c r="C105" s="137" t="s">
        <v>54</v>
      </c>
      <c r="D105" s="137" t="s">
        <v>275</v>
      </c>
      <c r="E105" s="138"/>
      <c r="F105" s="109" t="s">
        <v>276</v>
      </c>
      <c r="G105" s="133">
        <v>2254</v>
      </c>
      <c r="H105" s="133">
        <f>778-56</f>
        <v>722</v>
      </c>
      <c r="I105" s="109"/>
      <c r="J105" s="109"/>
      <c r="K105" s="133"/>
      <c r="L105" s="109"/>
      <c r="M105" s="109"/>
      <c r="N105" s="109"/>
      <c r="O105" s="391"/>
      <c r="P105" s="138" t="s">
        <v>5</v>
      </c>
      <c r="Q105" s="139">
        <v>1957036</v>
      </c>
      <c r="R105" s="392">
        <v>0.1646</v>
      </c>
      <c r="S105" s="393">
        <f t="shared" si="21"/>
        <v>322128.12559999997</v>
      </c>
      <c r="T105" s="387">
        <f t="shared" si="22"/>
        <v>868.25022182786154</v>
      </c>
      <c r="U105" s="141">
        <f t="shared" si="17"/>
        <v>45297</v>
      </c>
      <c r="V105" s="142">
        <v>45385</v>
      </c>
      <c r="W105" s="143" t="s">
        <v>277</v>
      </c>
      <c r="X105" s="476"/>
      <c r="Y105" s="135" t="str">
        <f t="shared" si="23"/>
        <v/>
      </c>
      <c r="Z105" s="426" t="str">
        <f t="shared" si="24"/>
        <v/>
      </c>
      <c r="AA105" s="136" t="str">
        <f t="shared" si="25"/>
        <v/>
      </c>
      <c r="AB105" s="185"/>
      <c r="AC105" s="185"/>
      <c r="AD105" s="185"/>
      <c r="AE105" s="185"/>
      <c r="AF105" s="185"/>
    </row>
    <row r="106" spans="1:32" s="115" customFormat="1" ht="16" customHeight="1">
      <c r="A106" s="273">
        <v>45233</v>
      </c>
      <c r="B106" s="109" t="s">
        <v>38</v>
      </c>
      <c r="C106" s="137" t="s">
        <v>54</v>
      </c>
      <c r="D106" s="137" t="s">
        <v>278</v>
      </c>
      <c r="E106" s="137"/>
      <c r="F106" s="109" t="s">
        <v>243</v>
      </c>
      <c r="G106" s="133">
        <v>2305</v>
      </c>
      <c r="H106" s="133">
        <f>625-29</f>
        <v>596</v>
      </c>
      <c r="I106" s="133"/>
      <c r="J106" s="109"/>
      <c r="K106" s="133"/>
      <c r="L106" s="109"/>
      <c r="M106" s="109"/>
      <c r="N106" s="109"/>
      <c r="O106" s="391"/>
      <c r="P106" s="138" t="s">
        <v>2</v>
      </c>
      <c r="Q106" s="139">
        <v>1798530</v>
      </c>
      <c r="R106" s="392">
        <v>0.192</v>
      </c>
      <c r="S106" s="393">
        <f t="shared" si="21"/>
        <v>345317.76</v>
      </c>
      <c r="T106" s="387">
        <f t="shared" si="22"/>
        <v>780.2733188720174</v>
      </c>
      <c r="U106" s="141">
        <f t="shared" si="17"/>
        <v>45293</v>
      </c>
      <c r="V106" s="142">
        <v>45385</v>
      </c>
      <c r="W106" s="143"/>
      <c r="X106" s="476"/>
      <c r="Y106" s="135" t="str">
        <f t="shared" si="23"/>
        <v/>
      </c>
      <c r="Z106" s="426" t="str">
        <f t="shared" si="24"/>
        <v/>
      </c>
      <c r="AA106" s="136" t="str">
        <f t="shared" si="25"/>
        <v>x</v>
      </c>
      <c r="AB106" s="185"/>
      <c r="AC106" s="185"/>
      <c r="AD106" s="185"/>
      <c r="AE106" s="185"/>
      <c r="AF106" s="185"/>
    </row>
    <row r="107" spans="1:32" s="115" customFormat="1" ht="16" customHeight="1">
      <c r="A107" s="273">
        <v>45238</v>
      </c>
      <c r="B107" s="109" t="s">
        <v>38</v>
      </c>
      <c r="C107" s="137" t="s">
        <v>54</v>
      </c>
      <c r="D107" s="137" t="s">
        <v>279</v>
      </c>
      <c r="E107" s="138"/>
      <c r="F107" s="109" t="s">
        <v>280</v>
      </c>
      <c r="G107" s="133">
        <v>996</v>
      </c>
      <c r="H107" s="133">
        <f>307-31</f>
        <v>276</v>
      </c>
      <c r="I107" s="109"/>
      <c r="J107" s="109"/>
      <c r="K107" s="133"/>
      <c r="L107" s="109"/>
      <c r="M107" s="109"/>
      <c r="N107" s="109"/>
      <c r="O107" s="391"/>
      <c r="P107" s="138" t="s">
        <v>2</v>
      </c>
      <c r="Q107" s="139">
        <v>795360</v>
      </c>
      <c r="R107" s="392">
        <v>0.17249999999999999</v>
      </c>
      <c r="S107" s="393">
        <f t="shared" si="21"/>
        <v>137199.59999999998</v>
      </c>
      <c r="T107" s="387">
        <f t="shared" si="22"/>
        <v>798.5542168674699</v>
      </c>
      <c r="U107" s="141">
        <f t="shared" si="17"/>
        <v>45298</v>
      </c>
      <c r="V107" s="142"/>
      <c r="W107" s="143"/>
      <c r="X107" s="476"/>
      <c r="Y107" s="135" t="str">
        <f t="shared" si="23"/>
        <v/>
      </c>
      <c r="Z107" s="426" t="str">
        <f t="shared" si="24"/>
        <v/>
      </c>
      <c r="AA107" s="136" t="str">
        <f t="shared" si="25"/>
        <v>x</v>
      </c>
      <c r="AB107" s="185"/>
      <c r="AC107" s="185"/>
      <c r="AD107" s="185"/>
      <c r="AE107" s="185"/>
      <c r="AF107" s="185"/>
    </row>
    <row r="108" spans="1:32" s="115" customFormat="1" ht="16" customHeight="1">
      <c r="A108" s="273">
        <v>45240</v>
      </c>
      <c r="B108" s="109" t="s">
        <v>38</v>
      </c>
      <c r="C108" s="137" t="s">
        <v>54</v>
      </c>
      <c r="D108" s="137" t="s">
        <v>281</v>
      </c>
      <c r="E108" s="137"/>
      <c r="F108" s="109" t="s">
        <v>282</v>
      </c>
      <c r="G108" s="133">
        <v>9963</v>
      </c>
      <c r="H108" s="133">
        <f>2629-187</f>
        <v>2442</v>
      </c>
      <c r="I108" s="109"/>
      <c r="J108" s="109"/>
      <c r="K108" s="133"/>
      <c r="L108" s="109"/>
      <c r="M108" s="109"/>
      <c r="N108" s="109"/>
      <c r="O108" s="391"/>
      <c r="P108" s="138" t="s">
        <v>2</v>
      </c>
      <c r="Q108" s="139">
        <v>6578220</v>
      </c>
      <c r="R108" s="392">
        <v>0.17860000000000001</v>
      </c>
      <c r="S108" s="393">
        <f t="shared" ref="S108:S139" si="26">Q108*R108</f>
        <v>1174870.0919999999</v>
      </c>
      <c r="T108" s="387">
        <f t="shared" ref="T108:T139" si="27">Q108/G108</f>
        <v>660.26498042758203</v>
      </c>
      <c r="U108" s="141">
        <f t="shared" ref="U108:U171" si="28">IF(A108="","",(A108+60))</f>
        <v>45300</v>
      </c>
      <c r="V108" s="142">
        <v>45385</v>
      </c>
      <c r="W108" s="143"/>
      <c r="X108" s="476"/>
      <c r="Y108" s="135" t="str">
        <f t="shared" ref="Y108:Y139" si="29">IF(OR(P108="Ordre",P108="Ferdig"),"x","")</f>
        <v/>
      </c>
      <c r="Z108" s="426" t="str">
        <f t="shared" ref="Z108:Z139" si="30">IF(P108="Ferdig","x","")</f>
        <v/>
      </c>
      <c r="AA108" s="136" t="str">
        <f t="shared" ref="AA108:AA139" si="31">IF(P108="Tapt","x","")</f>
        <v>x</v>
      </c>
      <c r="AB108" s="185"/>
      <c r="AC108" s="185"/>
      <c r="AD108" s="185"/>
      <c r="AE108" s="185"/>
      <c r="AF108" s="185"/>
    </row>
    <row r="109" spans="1:32" s="115" customFormat="1" ht="16" customHeight="1">
      <c r="A109" s="273">
        <v>45246</v>
      </c>
      <c r="B109" s="109" t="s">
        <v>38</v>
      </c>
      <c r="C109" s="137" t="s">
        <v>54</v>
      </c>
      <c r="D109" s="137" t="s">
        <v>283</v>
      </c>
      <c r="E109" s="137"/>
      <c r="F109" s="109" t="s">
        <v>284</v>
      </c>
      <c r="G109" s="133">
        <v>3462</v>
      </c>
      <c r="H109" s="133">
        <f>919-53</f>
        <v>866</v>
      </c>
      <c r="I109" s="109"/>
      <c r="J109" s="109"/>
      <c r="K109" s="133"/>
      <c r="L109" s="109"/>
      <c r="M109" s="109"/>
      <c r="N109" s="109"/>
      <c r="O109" s="391"/>
      <c r="P109" s="138" t="s">
        <v>2</v>
      </c>
      <c r="Q109" s="139">
        <v>2474270</v>
      </c>
      <c r="R109" s="392">
        <v>0.18</v>
      </c>
      <c r="S109" s="393">
        <f t="shared" si="26"/>
        <v>445368.6</v>
      </c>
      <c r="T109" s="387">
        <f t="shared" si="27"/>
        <v>714.69381860196415</v>
      </c>
      <c r="U109" s="141">
        <f t="shared" si="28"/>
        <v>45306</v>
      </c>
      <c r="V109" s="142">
        <v>45385</v>
      </c>
      <c r="W109" s="143"/>
      <c r="X109" s="476"/>
      <c r="Y109" s="135" t="str">
        <f t="shared" si="29"/>
        <v/>
      </c>
      <c r="Z109" s="426" t="str">
        <f t="shared" si="30"/>
        <v/>
      </c>
      <c r="AA109" s="136" t="str">
        <f t="shared" si="31"/>
        <v>x</v>
      </c>
      <c r="AB109" s="185"/>
      <c r="AC109" s="185"/>
      <c r="AD109" s="185"/>
      <c r="AE109" s="185"/>
      <c r="AF109" s="185"/>
    </row>
    <row r="110" spans="1:32" s="115" customFormat="1" ht="16" customHeight="1">
      <c r="A110" s="273">
        <v>45250</v>
      </c>
      <c r="B110" s="109" t="s">
        <v>38</v>
      </c>
      <c r="C110" s="137" t="s">
        <v>285</v>
      </c>
      <c r="D110" s="137" t="s">
        <v>286</v>
      </c>
      <c r="E110" s="138"/>
      <c r="F110" s="109" t="s">
        <v>287</v>
      </c>
      <c r="G110" s="133">
        <v>543</v>
      </c>
      <c r="H110" s="133">
        <v>160</v>
      </c>
      <c r="I110" s="109"/>
      <c r="J110" s="109"/>
      <c r="K110" s="133"/>
      <c r="L110" s="109"/>
      <c r="M110" s="109"/>
      <c r="N110" s="109"/>
      <c r="O110" s="391"/>
      <c r="P110" s="138" t="s">
        <v>5</v>
      </c>
      <c r="Q110" s="139">
        <v>469410</v>
      </c>
      <c r="R110" s="392">
        <v>0.2</v>
      </c>
      <c r="S110" s="393">
        <f t="shared" si="26"/>
        <v>93882</v>
      </c>
      <c r="T110" s="387">
        <f t="shared" si="27"/>
        <v>864.47513812154693</v>
      </c>
      <c r="U110" s="141">
        <f t="shared" si="28"/>
        <v>45310</v>
      </c>
      <c r="V110" s="142">
        <v>45385</v>
      </c>
      <c r="W110" s="143"/>
      <c r="X110" s="476"/>
      <c r="Y110" s="135" t="str">
        <f t="shared" si="29"/>
        <v/>
      </c>
      <c r="Z110" s="426" t="str">
        <f t="shared" si="30"/>
        <v/>
      </c>
      <c r="AA110" s="136" t="str">
        <f t="shared" si="31"/>
        <v/>
      </c>
      <c r="AB110" s="185"/>
      <c r="AC110" s="185"/>
      <c r="AD110" s="185"/>
      <c r="AE110" s="185"/>
      <c r="AF110" s="185"/>
    </row>
    <row r="111" spans="1:32" s="115" customFormat="1" ht="16" customHeight="1">
      <c r="A111" s="273">
        <v>45251</v>
      </c>
      <c r="B111" s="109" t="s">
        <v>38</v>
      </c>
      <c r="C111" s="137" t="s">
        <v>54</v>
      </c>
      <c r="D111" s="137" t="s">
        <v>288</v>
      </c>
      <c r="E111" s="138"/>
      <c r="F111" s="109" t="s">
        <v>50</v>
      </c>
      <c r="G111" s="133">
        <v>16198</v>
      </c>
      <c r="H111" s="133">
        <f>3744-139</f>
        <v>3605</v>
      </c>
      <c r="I111" s="109"/>
      <c r="J111" s="109"/>
      <c r="K111" s="133"/>
      <c r="L111" s="109"/>
      <c r="M111" s="109"/>
      <c r="N111" s="109"/>
      <c r="O111" s="391"/>
      <c r="P111" s="138" t="s">
        <v>5</v>
      </c>
      <c r="Q111" s="139">
        <v>10646560</v>
      </c>
      <c r="R111" s="392">
        <v>0.17</v>
      </c>
      <c r="S111" s="393">
        <f t="shared" si="26"/>
        <v>1809915.2000000002</v>
      </c>
      <c r="T111" s="387">
        <f t="shared" si="27"/>
        <v>657.27620693912831</v>
      </c>
      <c r="U111" s="141">
        <f t="shared" si="28"/>
        <v>45311</v>
      </c>
      <c r="V111" s="142">
        <v>45385</v>
      </c>
      <c r="W111" s="143" t="s">
        <v>289</v>
      </c>
      <c r="X111" s="476"/>
      <c r="Y111" s="135" t="str">
        <f t="shared" si="29"/>
        <v/>
      </c>
      <c r="Z111" s="426" t="str">
        <f t="shared" si="30"/>
        <v/>
      </c>
      <c r="AA111" s="136" t="str">
        <f t="shared" si="31"/>
        <v/>
      </c>
      <c r="AB111" s="185"/>
      <c r="AC111" s="185"/>
      <c r="AD111" s="185"/>
      <c r="AE111" s="185"/>
      <c r="AF111" s="185"/>
    </row>
    <row r="112" spans="1:32" s="115" customFormat="1" ht="16" customHeight="1">
      <c r="A112" s="273">
        <v>45259</v>
      </c>
      <c r="B112" s="109" t="s">
        <v>38</v>
      </c>
      <c r="C112" s="137" t="s">
        <v>85</v>
      </c>
      <c r="D112" s="137" t="s">
        <v>290</v>
      </c>
      <c r="E112" s="137"/>
      <c r="F112" s="109" t="s">
        <v>291</v>
      </c>
      <c r="G112" s="133">
        <v>32520</v>
      </c>
      <c r="H112" s="133">
        <f>6909-168</f>
        <v>6741</v>
      </c>
      <c r="I112" s="109"/>
      <c r="J112" s="109"/>
      <c r="K112" s="133"/>
      <c r="L112" s="109"/>
      <c r="M112" s="109"/>
      <c r="N112" s="109"/>
      <c r="O112" s="391"/>
      <c r="P112" s="138" t="s">
        <v>2</v>
      </c>
      <c r="Q112" s="139">
        <v>22531150</v>
      </c>
      <c r="R112" s="392">
        <v>0.13</v>
      </c>
      <c r="S112" s="393">
        <f t="shared" si="26"/>
        <v>2929049.5</v>
      </c>
      <c r="T112" s="387">
        <f t="shared" si="27"/>
        <v>692.83979089790898</v>
      </c>
      <c r="U112" s="141">
        <f t="shared" si="28"/>
        <v>45319</v>
      </c>
      <c r="V112" s="142"/>
      <c r="W112" s="143" t="s">
        <v>292</v>
      </c>
      <c r="X112" s="476"/>
      <c r="Y112" s="135" t="str">
        <f t="shared" si="29"/>
        <v/>
      </c>
      <c r="Z112" s="426" t="str">
        <f t="shared" si="30"/>
        <v/>
      </c>
      <c r="AA112" s="136" t="str">
        <f t="shared" si="31"/>
        <v>x</v>
      </c>
      <c r="AB112" s="185"/>
      <c r="AC112" s="185"/>
      <c r="AD112" s="185"/>
      <c r="AE112" s="185"/>
      <c r="AF112" s="185"/>
    </row>
    <row r="113" spans="1:32" s="115" customFormat="1" ht="16" customHeight="1">
      <c r="A113" s="273">
        <v>45260</v>
      </c>
      <c r="B113" s="109" t="s">
        <v>38</v>
      </c>
      <c r="C113" s="137" t="s">
        <v>54</v>
      </c>
      <c r="D113" s="137" t="s">
        <v>293</v>
      </c>
      <c r="E113" s="138"/>
      <c r="F113" s="109" t="s">
        <v>126</v>
      </c>
      <c r="G113" s="133">
        <v>31209</v>
      </c>
      <c r="H113" s="133">
        <f>6469-223</f>
        <v>6246</v>
      </c>
      <c r="I113" s="109"/>
      <c r="J113" s="109"/>
      <c r="K113" s="133"/>
      <c r="L113" s="109"/>
      <c r="M113" s="109"/>
      <c r="N113" s="109"/>
      <c r="O113" s="391"/>
      <c r="P113" s="138" t="s">
        <v>2</v>
      </c>
      <c r="Q113" s="139">
        <v>19244620</v>
      </c>
      <c r="R113" s="392">
        <v>0.15</v>
      </c>
      <c r="S113" s="393">
        <f t="shared" si="26"/>
        <v>2886693</v>
      </c>
      <c r="T113" s="387">
        <f t="shared" si="27"/>
        <v>616.63686757025221</v>
      </c>
      <c r="U113" s="141">
        <f t="shared" si="28"/>
        <v>45320</v>
      </c>
      <c r="V113" s="142">
        <v>45385</v>
      </c>
      <c r="W113" s="143" t="s">
        <v>252</v>
      </c>
      <c r="X113" s="476">
        <v>1</v>
      </c>
      <c r="Y113" s="135" t="str">
        <f t="shared" si="29"/>
        <v/>
      </c>
      <c r="Z113" s="426" t="str">
        <f t="shared" si="30"/>
        <v/>
      </c>
      <c r="AA113" s="136" t="str">
        <f t="shared" si="31"/>
        <v>x</v>
      </c>
      <c r="AB113" s="185"/>
      <c r="AC113" s="185"/>
      <c r="AD113" s="185"/>
      <c r="AE113" s="185"/>
      <c r="AF113" s="185"/>
    </row>
    <row r="114" spans="1:32" s="115" customFormat="1" ht="16" customHeight="1">
      <c r="A114" s="273">
        <v>45260</v>
      </c>
      <c r="B114" s="109" t="s">
        <v>38</v>
      </c>
      <c r="C114" s="137" t="s">
        <v>294</v>
      </c>
      <c r="D114" s="137" t="s">
        <v>295</v>
      </c>
      <c r="E114" s="138"/>
      <c r="F114" s="109" t="s">
        <v>296</v>
      </c>
      <c r="G114" s="133">
        <v>2786</v>
      </c>
      <c r="H114" s="133">
        <f>786-83</f>
        <v>703</v>
      </c>
      <c r="I114" s="109"/>
      <c r="J114" s="109"/>
      <c r="K114" s="133"/>
      <c r="L114" s="109"/>
      <c r="M114" s="109"/>
      <c r="N114" s="109"/>
      <c r="O114" s="391"/>
      <c r="P114" s="138" t="s">
        <v>43</v>
      </c>
      <c r="Q114" s="139">
        <v>1997750</v>
      </c>
      <c r="R114" s="392">
        <v>0.19539999999999999</v>
      </c>
      <c r="S114" s="393">
        <f t="shared" si="26"/>
        <v>390360.35</v>
      </c>
      <c r="T114" s="387">
        <f t="shared" si="27"/>
        <v>717.06748025843501</v>
      </c>
      <c r="U114" s="141">
        <f t="shared" si="28"/>
        <v>45320</v>
      </c>
      <c r="V114" s="142">
        <v>45385</v>
      </c>
      <c r="W114" s="143"/>
      <c r="X114" s="476"/>
      <c r="Y114" s="135" t="str">
        <f t="shared" si="29"/>
        <v/>
      </c>
      <c r="Z114" s="426" t="str">
        <f t="shared" si="30"/>
        <v/>
      </c>
      <c r="AA114" s="136" t="str">
        <f t="shared" si="31"/>
        <v/>
      </c>
      <c r="AB114" s="185"/>
      <c r="AC114" s="185"/>
      <c r="AD114" s="185"/>
      <c r="AE114" s="185"/>
      <c r="AF114" s="185"/>
    </row>
    <row r="115" spans="1:32" s="115" customFormat="1" ht="16" customHeight="1">
      <c r="A115" s="273">
        <v>45278</v>
      </c>
      <c r="B115" s="109" t="s">
        <v>38</v>
      </c>
      <c r="C115" s="137" t="s">
        <v>54</v>
      </c>
      <c r="D115" s="137" t="s">
        <v>297</v>
      </c>
      <c r="E115" s="138"/>
      <c r="F115" s="109" t="s">
        <v>298</v>
      </c>
      <c r="G115" s="133">
        <v>864</v>
      </c>
      <c r="H115" s="133">
        <f>258-24</f>
        <v>234</v>
      </c>
      <c r="I115" s="109"/>
      <c r="J115" s="109"/>
      <c r="K115" s="133"/>
      <c r="L115" s="109"/>
      <c r="M115" s="109"/>
      <c r="N115" s="109"/>
      <c r="O115" s="391"/>
      <c r="P115" s="138" t="s">
        <v>5</v>
      </c>
      <c r="Q115" s="139">
        <v>980420</v>
      </c>
      <c r="R115" s="392">
        <v>0.19</v>
      </c>
      <c r="S115" s="393">
        <f t="shared" si="26"/>
        <v>186279.8</v>
      </c>
      <c r="T115" s="387">
        <f t="shared" si="27"/>
        <v>1134.7453703703704</v>
      </c>
      <c r="U115" s="141">
        <f t="shared" si="28"/>
        <v>45338</v>
      </c>
      <c r="V115" s="142">
        <v>45385</v>
      </c>
      <c r="W115" s="143" t="s">
        <v>299</v>
      </c>
      <c r="X115" s="476"/>
      <c r="Y115" s="135" t="str">
        <f t="shared" si="29"/>
        <v/>
      </c>
      <c r="Z115" s="426" t="str">
        <f t="shared" si="30"/>
        <v/>
      </c>
      <c r="AA115" s="136" t="str">
        <f t="shared" si="31"/>
        <v/>
      </c>
      <c r="AB115" s="185"/>
      <c r="AC115" s="185"/>
      <c r="AD115" s="185"/>
      <c r="AE115" s="185"/>
      <c r="AF115" s="185"/>
    </row>
    <row r="116" spans="1:32" s="115" customFormat="1" ht="16" customHeight="1">
      <c r="A116" s="273">
        <v>45280</v>
      </c>
      <c r="B116" s="109" t="s">
        <v>38</v>
      </c>
      <c r="C116" s="137" t="s">
        <v>186</v>
      </c>
      <c r="D116" s="137" t="s">
        <v>300</v>
      </c>
      <c r="E116" s="137"/>
      <c r="F116" s="109" t="s">
        <v>301</v>
      </c>
      <c r="G116" s="133">
        <v>2962</v>
      </c>
      <c r="H116" s="133">
        <f>780-55</f>
        <v>725</v>
      </c>
      <c r="I116" s="109"/>
      <c r="J116" s="109"/>
      <c r="K116" s="133"/>
      <c r="L116" s="109"/>
      <c r="M116" s="109"/>
      <c r="N116" s="109"/>
      <c r="O116" s="391"/>
      <c r="P116" s="138" t="s">
        <v>2</v>
      </c>
      <c r="Q116" s="139">
        <v>2135540</v>
      </c>
      <c r="R116" s="392">
        <v>0.18</v>
      </c>
      <c r="S116" s="393">
        <f t="shared" si="26"/>
        <v>384397.2</v>
      </c>
      <c r="T116" s="387">
        <f t="shared" si="27"/>
        <v>720.97906819716411</v>
      </c>
      <c r="U116" s="141">
        <f t="shared" si="28"/>
        <v>45340</v>
      </c>
      <c r="V116" s="142">
        <v>45385</v>
      </c>
      <c r="W116" s="143"/>
      <c r="X116" s="476"/>
      <c r="Y116" s="135" t="str">
        <f t="shared" si="29"/>
        <v/>
      </c>
      <c r="Z116" s="426" t="str">
        <f t="shared" si="30"/>
        <v/>
      </c>
      <c r="AA116" s="136" t="str">
        <f t="shared" si="31"/>
        <v>x</v>
      </c>
      <c r="AB116" s="185"/>
      <c r="AC116" s="185"/>
      <c r="AD116" s="185"/>
      <c r="AE116" s="185"/>
      <c r="AF116" s="185"/>
    </row>
    <row r="117" spans="1:32" s="115" customFormat="1" ht="16" customHeight="1">
      <c r="A117" s="273">
        <v>45300</v>
      </c>
      <c r="B117" s="109" t="s">
        <v>38</v>
      </c>
      <c r="C117" s="137" t="s">
        <v>54</v>
      </c>
      <c r="D117" s="137" t="s">
        <v>302</v>
      </c>
      <c r="E117" s="138"/>
      <c r="F117" s="109" t="s">
        <v>77</v>
      </c>
      <c r="G117" s="133">
        <v>708</v>
      </c>
      <c r="H117" s="133">
        <f>282-30</f>
        <v>252</v>
      </c>
      <c r="I117" s="109"/>
      <c r="J117" s="109"/>
      <c r="K117" s="133"/>
      <c r="L117" s="109"/>
      <c r="M117" s="109"/>
      <c r="N117" s="109"/>
      <c r="O117" s="391"/>
      <c r="P117" s="138" t="s">
        <v>5</v>
      </c>
      <c r="Q117" s="139">
        <v>652927</v>
      </c>
      <c r="R117" s="392">
        <v>0.187</v>
      </c>
      <c r="S117" s="393">
        <f t="shared" si="26"/>
        <v>122097.349</v>
      </c>
      <c r="T117" s="387">
        <f t="shared" si="27"/>
        <v>922.21327683615823</v>
      </c>
      <c r="U117" s="141">
        <f t="shared" si="28"/>
        <v>45360</v>
      </c>
      <c r="V117" s="142">
        <v>45385</v>
      </c>
      <c r="W117" s="143" t="s">
        <v>303</v>
      </c>
      <c r="X117" s="476"/>
      <c r="Y117" s="135" t="str">
        <f t="shared" si="29"/>
        <v/>
      </c>
      <c r="Z117" s="426" t="str">
        <f t="shared" si="30"/>
        <v/>
      </c>
      <c r="AA117" s="136" t="str">
        <f t="shared" si="31"/>
        <v/>
      </c>
      <c r="AB117" s="185"/>
      <c r="AC117" s="185"/>
      <c r="AD117" s="185"/>
      <c r="AE117" s="185"/>
      <c r="AF117" s="185"/>
    </row>
    <row r="118" spans="1:32" s="115" customFormat="1" ht="16" customHeight="1">
      <c r="A118" s="273">
        <v>45300</v>
      </c>
      <c r="B118" s="109" t="s">
        <v>38</v>
      </c>
      <c r="C118" s="137" t="s">
        <v>106</v>
      </c>
      <c r="D118" s="137" t="s">
        <v>304</v>
      </c>
      <c r="E118" s="138"/>
      <c r="F118" s="109" t="s">
        <v>305</v>
      </c>
      <c r="G118" s="133">
        <v>1816</v>
      </c>
      <c r="H118" s="133">
        <f>716-50</f>
        <v>666</v>
      </c>
      <c r="I118" s="109"/>
      <c r="J118" s="109"/>
      <c r="K118" s="133"/>
      <c r="L118" s="109"/>
      <c r="M118" s="109"/>
      <c r="N118" s="109"/>
      <c r="O118" s="391"/>
      <c r="P118" s="138" t="s">
        <v>5</v>
      </c>
      <c r="Q118" s="139">
        <v>2154970</v>
      </c>
      <c r="R118" s="392">
        <v>0.21529999999999999</v>
      </c>
      <c r="S118" s="393">
        <f t="shared" si="26"/>
        <v>463965.04099999997</v>
      </c>
      <c r="T118" s="387">
        <f t="shared" si="27"/>
        <v>1186.6574889867841</v>
      </c>
      <c r="U118" s="141">
        <f t="shared" si="28"/>
        <v>45360</v>
      </c>
      <c r="V118" s="142"/>
      <c r="W118" s="143"/>
      <c r="X118" s="476"/>
      <c r="Y118" s="135" t="str">
        <f t="shared" si="29"/>
        <v/>
      </c>
      <c r="Z118" s="426" t="str">
        <f t="shared" si="30"/>
        <v/>
      </c>
      <c r="AA118" s="136" t="str">
        <f t="shared" si="31"/>
        <v/>
      </c>
      <c r="AB118" s="185"/>
      <c r="AC118" s="185"/>
      <c r="AD118" s="185"/>
      <c r="AE118" s="185"/>
      <c r="AF118" s="185"/>
    </row>
    <row r="119" spans="1:32" s="115" customFormat="1" ht="16" customHeight="1">
      <c r="A119" s="273">
        <v>45300</v>
      </c>
      <c r="B119" s="109" t="s">
        <v>38</v>
      </c>
      <c r="C119" s="107" t="s">
        <v>54</v>
      </c>
      <c r="D119" s="137" t="s">
        <v>306</v>
      </c>
      <c r="E119" s="138"/>
      <c r="F119" s="109" t="s">
        <v>185</v>
      </c>
      <c r="G119" s="421">
        <v>1182</v>
      </c>
      <c r="H119" s="421">
        <f>320-32</f>
        <v>288</v>
      </c>
      <c r="I119" s="110"/>
      <c r="J119" s="316"/>
      <c r="K119" s="555"/>
      <c r="L119" s="316"/>
      <c r="M119" s="316"/>
      <c r="N119" s="316"/>
      <c r="O119" s="316"/>
      <c r="P119" s="138" t="s">
        <v>5</v>
      </c>
      <c r="Q119" s="139">
        <v>1021810</v>
      </c>
      <c r="R119" s="392">
        <v>0.19</v>
      </c>
      <c r="S119" s="393">
        <f t="shared" si="26"/>
        <v>194143.9</v>
      </c>
      <c r="T119" s="387">
        <f t="shared" si="27"/>
        <v>864.47546531302874</v>
      </c>
      <c r="U119" s="141">
        <f t="shared" si="28"/>
        <v>45360</v>
      </c>
      <c r="V119" s="142">
        <v>45385</v>
      </c>
      <c r="W119" s="398" t="s">
        <v>299</v>
      </c>
      <c r="X119" s="476"/>
      <c r="Y119" s="135" t="str">
        <f t="shared" si="29"/>
        <v/>
      </c>
      <c r="Z119" s="426" t="str">
        <f t="shared" si="30"/>
        <v/>
      </c>
      <c r="AA119" s="136" t="str">
        <f t="shared" si="31"/>
        <v/>
      </c>
      <c r="AB119" s="185"/>
      <c r="AC119" s="185"/>
      <c r="AD119" s="185"/>
      <c r="AE119" s="185"/>
      <c r="AF119" s="185"/>
    </row>
    <row r="120" spans="1:32" s="115" customFormat="1" ht="16" customHeight="1">
      <c r="A120" s="273">
        <v>45301</v>
      </c>
      <c r="B120" s="109" t="s">
        <v>38</v>
      </c>
      <c r="C120" s="137" t="s">
        <v>54</v>
      </c>
      <c r="D120" s="137" t="s">
        <v>307</v>
      </c>
      <c r="E120" s="138"/>
      <c r="F120" s="109" t="s">
        <v>83</v>
      </c>
      <c r="G120" s="133">
        <v>3120</v>
      </c>
      <c r="H120" s="133">
        <f>694-45</f>
        <v>649</v>
      </c>
      <c r="I120" s="109"/>
      <c r="J120" s="109"/>
      <c r="K120" s="133"/>
      <c r="L120" s="109"/>
      <c r="M120" s="109"/>
      <c r="N120" s="109"/>
      <c r="O120" s="391"/>
      <c r="P120" s="138" t="s">
        <v>7</v>
      </c>
      <c r="Q120" s="139">
        <v>2415540</v>
      </c>
      <c r="R120" s="392">
        <v>0.18</v>
      </c>
      <c r="S120" s="393">
        <f t="shared" si="26"/>
        <v>434797.2</v>
      </c>
      <c r="T120" s="387">
        <f t="shared" si="27"/>
        <v>774.21153846153845</v>
      </c>
      <c r="U120" s="141">
        <f t="shared" si="28"/>
        <v>45361</v>
      </c>
      <c r="V120" s="142"/>
      <c r="W120" s="143" t="s">
        <v>308</v>
      </c>
      <c r="X120" s="476"/>
      <c r="Y120" s="135" t="str">
        <f t="shared" si="29"/>
        <v>x</v>
      </c>
      <c r="Z120" s="426" t="str">
        <f t="shared" si="30"/>
        <v>x</v>
      </c>
      <c r="AA120" s="136" t="str">
        <f t="shared" si="31"/>
        <v/>
      </c>
      <c r="AB120" s="185"/>
      <c r="AC120" s="185"/>
      <c r="AD120" s="185"/>
      <c r="AE120" s="185"/>
      <c r="AF120" s="185"/>
    </row>
    <row r="121" spans="1:32" s="115" customFormat="1" ht="16" customHeight="1">
      <c r="A121" s="273">
        <v>45334</v>
      </c>
      <c r="B121" s="109" t="s">
        <v>38</v>
      </c>
      <c r="C121" s="137" t="s">
        <v>54</v>
      </c>
      <c r="D121" s="137" t="s">
        <v>309</v>
      </c>
      <c r="E121" s="137"/>
      <c r="F121" s="109" t="s">
        <v>77</v>
      </c>
      <c r="G121" s="133">
        <v>55</v>
      </c>
      <c r="H121" s="133">
        <v>30</v>
      </c>
      <c r="I121" s="109"/>
      <c r="J121" s="109"/>
      <c r="K121" s="133"/>
      <c r="L121" s="109"/>
      <c r="M121" s="109"/>
      <c r="N121" s="109"/>
      <c r="O121" s="391"/>
      <c r="P121" s="138" t="s">
        <v>7</v>
      </c>
      <c r="Q121" s="139">
        <v>152115</v>
      </c>
      <c r="R121" s="392">
        <v>0.21</v>
      </c>
      <c r="S121" s="393">
        <f t="shared" si="26"/>
        <v>31944.149999999998</v>
      </c>
      <c r="T121" s="387">
        <f t="shared" si="27"/>
        <v>2765.7272727272725</v>
      </c>
      <c r="U121" s="141">
        <f t="shared" si="28"/>
        <v>45394</v>
      </c>
      <c r="V121" s="142"/>
      <c r="W121" s="143"/>
      <c r="X121" s="476"/>
      <c r="Y121" s="135" t="str">
        <f t="shared" si="29"/>
        <v>x</v>
      </c>
      <c r="Z121" s="426" t="str">
        <f t="shared" si="30"/>
        <v>x</v>
      </c>
      <c r="AA121" s="136" t="str">
        <f t="shared" si="31"/>
        <v/>
      </c>
      <c r="AB121" s="185"/>
      <c r="AC121" s="185"/>
      <c r="AD121" s="185"/>
      <c r="AE121" s="185"/>
      <c r="AF121" s="185"/>
    </row>
    <row r="122" spans="1:32" s="115" customFormat="1" ht="16" customHeight="1">
      <c r="A122" s="273">
        <v>45531</v>
      </c>
      <c r="B122" s="109" t="s">
        <v>38</v>
      </c>
      <c r="C122" s="137" t="s">
        <v>186</v>
      </c>
      <c r="D122" s="137" t="s">
        <v>310</v>
      </c>
      <c r="E122" s="138"/>
      <c r="F122" s="109" t="s">
        <v>245</v>
      </c>
      <c r="G122" s="133">
        <v>5888</v>
      </c>
      <c r="H122" s="133">
        <f>1199-62</f>
        <v>1137</v>
      </c>
      <c r="I122" s="109"/>
      <c r="J122" s="109"/>
      <c r="K122" s="133"/>
      <c r="L122" s="109"/>
      <c r="M122" s="109"/>
      <c r="N122" s="109"/>
      <c r="O122" s="391"/>
      <c r="P122" s="138" t="s">
        <v>5</v>
      </c>
      <c r="Q122" s="139">
        <v>3628560</v>
      </c>
      <c r="R122" s="392">
        <v>0.14779999999999999</v>
      </c>
      <c r="S122" s="393">
        <f t="shared" si="26"/>
        <v>536301.16799999995</v>
      </c>
      <c r="T122" s="387">
        <f t="shared" si="27"/>
        <v>616.26358695652175</v>
      </c>
      <c r="U122" s="141">
        <f t="shared" si="28"/>
        <v>45591</v>
      </c>
      <c r="V122" s="142">
        <v>45385</v>
      </c>
      <c r="W122" s="143" t="s">
        <v>311</v>
      </c>
      <c r="X122" s="476">
        <v>1</v>
      </c>
      <c r="Y122" s="135" t="str">
        <f t="shared" si="29"/>
        <v/>
      </c>
      <c r="Z122" s="426" t="str">
        <f t="shared" si="30"/>
        <v/>
      </c>
      <c r="AA122" s="136" t="str">
        <f t="shared" si="31"/>
        <v/>
      </c>
      <c r="AB122" s="185"/>
      <c r="AC122" s="185"/>
      <c r="AD122" s="185"/>
      <c r="AE122" s="185"/>
      <c r="AF122" s="185"/>
    </row>
    <row r="123" spans="1:32" s="115" customFormat="1" ht="16" customHeight="1">
      <c r="A123" s="273">
        <v>45296</v>
      </c>
      <c r="B123" s="109" t="s">
        <v>38</v>
      </c>
      <c r="C123" s="137" t="s">
        <v>54</v>
      </c>
      <c r="D123" s="137" t="s">
        <v>312</v>
      </c>
      <c r="E123" s="138"/>
      <c r="F123" s="109" t="s">
        <v>65</v>
      </c>
      <c r="G123" s="133">
        <v>2034</v>
      </c>
      <c r="H123" s="133">
        <f>777-58</f>
        <v>719</v>
      </c>
      <c r="I123" s="109"/>
      <c r="J123" s="109"/>
      <c r="K123" s="133"/>
      <c r="L123" s="109"/>
      <c r="M123" s="109"/>
      <c r="N123" s="109"/>
      <c r="O123" s="391"/>
      <c r="P123" s="138" t="s">
        <v>5</v>
      </c>
      <c r="Q123" s="139">
        <v>1794700</v>
      </c>
      <c r="R123" s="392">
        <v>0.19359999999999999</v>
      </c>
      <c r="S123" s="393">
        <f t="shared" si="26"/>
        <v>347453.92</v>
      </c>
      <c r="T123" s="387">
        <f t="shared" si="27"/>
        <v>882.35004916420849</v>
      </c>
      <c r="U123" s="141">
        <f t="shared" si="28"/>
        <v>45356</v>
      </c>
      <c r="V123" s="142">
        <v>45385</v>
      </c>
      <c r="W123" s="143"/>
      <c r="X123" s="476"/>
      <c r="Y123" s="135" t="str">
        <f t="shared" si="29"/>
        <v/>
      </c>
      <c r="Z123" s="426" t="str">
        <f t="shared" si="30"/>
        <v/>
      </c>
      <c r="AA123" s="136" t="str">
        <f t="shared" si="31"/>
        <v/>
      </c>
      <c r="AB123" s="185"/>
      <c r="AC123" s="185"/>
      <c r="AD123" s="185"/>
      <c r="AE123" s="185"/>
      <c r="AF123" s="185"/>
    </row>
    <row r="124" spans="1:32" s="115" customFormat="1" ht="16" customHeight="1">
      <c r="A124" s="273">
        <v>45328</v>
      </c>
      <c r="B124" s="109" t="s">
        <v>38</v>
      </c>
      <c r="C124" s="137" t="s">
        <v>313</v>
      </c>
      <c r="D124" s="137" t="s">
        <v>314</v>
      </c>
      <c r="E124" s="138"/>
      <c r="F124" s="109" t="s">
        <v>243</v>
      </c>
      <c r="G124" s="133">
        <v>6000</v>
      </c>
      <c r="H124" s="133">
        <v>1700</v>
      </c>
      <c r="I124" s="109"/>
      <c r="J124" s="109"/>
      <c r="K124" s="133"/>
      <c r="L124" s="109"/>
      <c r="M124" s="109"/>
      <c r="N124" s="109"/>
      <c r="O124" s="391"/>
      <c r="P124" s="138" t="s">
        <v>5</v>
      </c>
      <c r="Q124" s="139">
        <v>5395460</v>
      </c>
      <c r="R124" s="392">
        <v>0.193</v>
      </c>
      <c r="S124" s="393">
        <f t="shared" si="26"/>
        <v>1041323.78</v>
      </c>
      <c r="T124" s="387">
        <f t="shared" si="27"/>
        <v>899.24333333333334</v>
      </c>
      <c r="U124" s="141">
        <f t="shared" si="28"/>
        <v>45388</v>
      </c>
      <c r="V124" s="142"/>
      <c r="W124" s="143"/>
      <c r="X124" s="476"/>
      <c r="Y124" s="135" t="str">
        <f t="shared" si="29"/>
        <v/>
      </c>
      <c r="Z124" s="426" t="str">
        <f t="shared" si="30"/>
        <v/>
      </c>
      <c r="AA124" s="136" t="str">
        <f t="shared" si="31"/>
        <v/>
      </c>
      <c r="AB124" s="185"/>
      <c r="AC124" s="185"/>
      <c r="AD124" s="185"/>
      <c r="AE124" s="185"/>
      <c r="AF124" s="185"/>
    </row>
    <row r="125" spans="1:32" s="115" customFormat="1" ht="16" customHeight="1">
      <c r="A125" s="273">
        <v>45330</v>
      </c>
      <c r="B125" s="109" t="s">
        <v>38</v>
      </c>
      <c r="C125" s="137" t="s">
        <v>54</v>
      </c>
      <c r="D125" s="137" t="s">
        <v>315</v>
      </c>
      <c r="E125" s="137"/>
      <c r="F125" s="109" t="s">
        <v>83</v>
      </c>
      <c r="G125" s="133">
        <v>1421</v>
      </c>
      <c r="H125" s="133">
        <f>526-39</f>
        <v>487</v>
      </c>
      <c r="I125" s="109"/>
      <c r="J125" s="109"/>
      <c r="K125" s="133"/>
      <c r="L125" s="109"/>
      <c r="M125" s="109"/>
      <c r="N125" s="109"/>
      <c r="O125" s="391"/>
      <c r="P125" s="138" t="s">
        <v>2</v>
      </c>
      <c r="Q125" s="139">
        <v>1229310</v>
      </c>
      <c r="R125" s="392">
        <v>0.1996</v>
      </c>
      <c r="S125" s="393">
        <f t="shared" si="26"/>
        <v>245370.27600000001</v>
      </c>
      <c r="T125" s="387">
        <f t="shared" si="27"/>
        <v>865.10204081632651</v>
      </c>
      <c r="U125" s="141">
        <f t="shared" si="28"/>
        <v>45390</v>
      </c>
      <c r="V125" s="142">
        <v>45385</v>
      </c>
      <c r="W125" s="143"/>
      <c r="X125" s="476"/>
      <c r="Y125" s="135" t="str">
        <f t="shared" si="29"/>
        <v/>
      </c>
      <c r="Z125" s="426" t="str">
        <f t="shared" si="30"/>
        <v/>
      </c>
      <c r="AA125" s="136" t="str">
        <f t="shared" si="31"/>
        <v>x</v>
      </c>
      <c r="AB125" s="185"/>
      <c r="AC125" s="185"/>
      <c r="AD125" s="185"/>
      <c r="AE125" s="185"/>
      <c r="AF125" s="185"/>
    </row>
    <row r="126" spans="1:32" s="115" customFormat="1" ht="16" customHeight="1">
      <c r="A126" s="273">
        <v>45330</v>
      </c>
      <c r="B126" s="109" t="s">
        <v>38</v>
      </c>
      <c r="C126" s="137" t="s">
        <v>54</v>
      </c>
      <c r="D126" s="137" t="s">
        <v>316</v>
      </c>
      <c r="E126" s="138"/>
      <c r="F126" s="109" t="s">
        <v>317</v>
      </c>
      <c r="G126" s="133">
        <v>202</v>
      </c>
      <c r="H126" s="133">
        <v>88</v>
      </c>
      <c r="I126" s="109"/>
      <c r="J126" s="109"/>
      <c r="K126" s="133"/>
      <c r="L126" s="109"/>
      <c r="M126" s="109"/>
      <c r="N126" s="109"/>
      <c r="O126" s="391"/>
      <c r="P126" s="138" t="s">
        <v>5</v>
      </c>
      <c r="Q126" s="139">
        <v>394310</v>
      </c>
      <c r="R126" s="392">
        <v>0.25</v>
      </c>
      <c r="S126" s="393">
        <f t="shared" si="26"/>
        <v>98577.5</v>
      </c>
      <c r="T126" s="387">
        <f t="shared" si="27"/>
        <v>1952.029702970297</v>
      </c>
      <c r="U126" s="141">
        <f t="shared" si="28"/>
        <v>45390</v>
      </c>
      <c r="V126" s="142">
        <v>45385</v>
      </c>
      <c r="W126" s="143" t="s">
        <v>299</v>
      </c>
      <c r="X126" s="476"/>
      <c r="Y126" s="135" t="str">
        <f t="shared" si="29"/>
        <v/>
      </c>
      <c r="Z126" s="426" t="str">
        <f t="shared" si="30"/>
        <v/>
      </c>
      <c r="AA126" s="136" t="str">
        <f t="shared" si="31"/>
        <v/>
      </c>
      <c r="AB126" s="185"/>
      <c r="AC126" s="185"/>
      <c r="AD126" s="185"/>
      <c r="AE126" s="185"/>
      <c r="AF126" s="185"/>
    </row>
    <row r="127" spans="1:32" s="115" customFormat="1" ht="16" customHeight="1">
      <c r="A127" s="273">
        <v>45334</v>
      </c>
      <c r="B127" s="109" t="s">
        <v>38</v>
      </c>
      <c r="C127" s="137" t="s">
        <v>54</v>
      </c>
      <c r="D127" s="394" t="s">
        <v>318</v>
      </c>
      <c r="E127" s="491"/>
      <c r="F127" s="109" t="s">
        <v>50</v>
      </c>
      <c r="G127" s="133">
        <v>7875</v>
      </c>
      <c r="H127" s="133">
        <f>1717-101</f>
        <v>1616</v>
      </c>
      <c r="I127" s="109"/>
      <c r="J127" s="109"/>
      <c r="K127" s="133"/>
      <c r="L127" s="109"/>
      <c r="M127" s="109"/>
      <c r="N127" s="109"/>
      <c r="O127" s="391"/>
      <c r="P127" s="138" t="s">
        <v>43</v>
      </c>
      <c r="Q127" s="139">
        <v>5250700</v>
      </c>
      <c r="R127" s="392">
        <v>0.19</v>
      </c>
      <c r="S127" s="393">
        <f t="shared" si="26"/>
        <v>997633</v>
      </c>
      <c r="T127" s="387">
        <f t="shared" si="27"/>
        <v>666.75555555555559</v>
      </c>
      <c r="U127" s="141">
        <f t="shared" si="28"/>
        <v>45394</v>
      </c>
      <c r="V127" s="142">
        <v>45385</v>
      </c>
      <c r="W127" s="143" t="s">
        <v>319</v>
      </c>
      <c r="X127" s="476"/>
      <c r="Y127" s="135" t="str">
        <f t="shared" si="29"/>
        <v/>
      </c>
      <c r="Z127" s="426" t="str">
        <f t="shared" si="30"/>
        <v/>
      </c>
      <c r="AA127" s="136" t="str">
        <f t="shared" si="31"/>
        <v/>
      </c>
      <c r="AB127" s="185"/>
      <c r="AC127" s="185"/>
      <c r="AD127" s="185"/>
      <c r="AE127" s="185"/>
      <c r="AF127" s="185"/>
    </row>
    <row r="128" spans="1:32" s="115" customFormat="1" ht="16" customHeight="1">
      <c r="A128" s="273">
        <v>45337</v>
      </c>
      <c r="B128" s="109" t="s">
        <v>38</v>
      </c>
      <c r="C128" s="137" t="s">
        <v>85</v>
      </c>
      <c r="D128" s="137" t="s">
        <v>320</v>
      </c>
      <c r="E128" s="137"/>
      <c r="F128" s="109" t="s">
        <v>321</v>
      </c>
      <c r="G128" s="133">
        <v>3604</v>
      </c>
      <c r="H128" s="133">
        <f>806-53</f>
        <v>753</v>
      </c>
      <c r="I128" s="109"/>
      <c r="J128" s="109"/>
      <c r="K128" s="133"/>
      <c r="L128" s="109"/>
      <c r="M128" s="109"/>
      <c r="N128" s="109"/>
      <c r="O128" s="391"/>
      <c r="P128" s="138" t="s">
        <v>2</v>
      </c>
      <c r="Q128" s="139">
        <v>2851820</v>
      </c>
      <c r="R128" s="392">
        <v>0.14249999999999999</v>
      </c>
      <c r="S128" s="393">
        <f t="shared" si="26"/>
        <v>406384.35</v>
      </c>
      <c r="T128" s="387">
        <f t="shared" si="27"/>
        <v>791.29300776914545</v>
      </c>
      <c r="U128" s="141">
        <f t="shared" si="28"/>
        <v>45397</v>
      </c>
      <c r="V128" s="142"/>
      <c r="W128" s="143"/>
      <c r="X128" s="476"/>
      <c r="Y128" s="135" t="str">
        <f t="shared" si="29"/>
        <v/>
      </c>
      <c r="Z128" s="426" t="str">
        <f t="shared" si="30"/>
        <v/>
      </c>
      <c r="AA128" s="136" t="str">
        <f t="shared" si="31"/>
        <v>x</v>
      </c>
      <c r="AB128" s="185"/>
      <c r="AC128" s="185"/>
      <c r="AD128" s="185"/>
      <c r="AE128" s="185"/>
      <c r="AF128" s="185"/>
    </row>
    <row r="129" spans="1:32" s="115" customFormat="1" ht="16" customHeight="1">
      <c r="A129" s="273">
        <v>45335</v>
      </c>
      <c r="B129" s="109" t="s">
        <v>38</v>
      </c>
      <c r="C129" s="137" t="s">
        <v>54</v>
      </c>
      <c r="D129" s="137" t="s">
        <v>322</v>
      </c>
      <c r="E129" s="138"/>
      <c r="F129" s="109" t="s">
        <v>41</v>
      </c>
      <c r="G129" s="133">
        <v>1406</v>
      </c>
      <c r="H129" s="133">
        <f>432-53</f>
        <v>379</v>
      </c>
      <c r="I129" s="109"/>
      <c r="J129" s="109"/>
      <c r="K129" s="133"/>
      <c r="L129" s="109"/>
      <c r="M129" s="109"/>
      <c r="N129" s="109"/>
      <c r="O129" s="391"/>
      <c r="P129" s="138" t="s">
        <v>3</v>
      </c>
      <c r="Q129" s="139">
        <v>1245480</v>
      </c>
      <c r="R129" s="392">
        <v>0.14000000000000001</v>
      </c>
      <c r="S129" s="393">
        <f t="shared" si="26"/>
        <v>174367.2</v>
      </c>
      <c r="T129" s="387">
        <f t="shared" si="27"/>
        <v>885.83214793741115</v>
      </c>
      <c r="U129" s="141">
        <f t="shared" si="28"/>
        <v>45395</v>
      </c>
      <c r="V129" s="142">
        <v>45385</v>
      </c>
      <c r="W129" s="143" t="s">
        <v>102</v>
      </c>
      <c r="X129" s="476"/>
      <c r="Y129" s="135" t="str">
        <f t="shared" si="29"/>
        <v>x</v>
      </c>
      <c r="Z129" s="426" t="str">
        <f t="shared" si="30"/>
        <v/>
      </c>
      <c r="AA129" s="136" t="str">
        <f t="shared" si="31"/>
        <v/>
      </c>
      <c r="AB129" s="185"/>
      <c r="AC129" s="185"/>
      <c r="AD129" s="185"/>
      <c r="AE129" s="185"/>
      <c r="AF129" s="185"/>
    </row>
    <row r="130" spans="1:32" s="115" customFormat="1" ht="16" customHeight="1">
      <c r="A130" s="273">
        <v>45335</v>
      </c>
      <c r="B130" s="109" t="s">
        <v>38</v>
      </c>
      <c r="C130" s="137" t="s">
        <v>54</v>
      </c>
      <c r="D130" s="137" t="s">
        <v>323</v>
      </c>
      <c r="E130" s="138"/>
      <c r="F130" s="109" t="s">
        <v>65</v>
      </c>
      <c r="G130" s="133">
        <v>2639</v>
      </c>
      <c r="H130" s="133">
        <f>585-113</f>
        <v>472</v>
      </c>
      <c r="I130" s="109"/>
      <c r="J130" s="109"/>
      <c r="K130" s="133"/>
      <c r="L130" s="109"/>
      <c r="M130" s="109"/>
      <c r="N130" s="109"/>
      <c r="O130" s="391"/>
      <c r="P130" s="138" t="s">
        <v>3</v>
      </c>
      <c r="Q130" s="139">
        <v>2413640</v>
      </c>
      <c r="R130" s="392">
        <v>0.1956</v>
      </c>
      <c r="S130" s="393">
        <f t="shared" si="26"/>
        <v>472107.984</v>
      </c>
      <c r="T130" s="387">
        <f t="shared" si="27"/>
        <v>914.6040166729822</v>
      </c>
      <c r="U130" s="141">
        <f t="shared" si="28"/>
        <v>45395</v>
      </c>
      <c r="V130" s="142">
        <v>45385</v>
      </c>
      <c r="W130" s="143" t="s">
        <v>299</v>
      </c>
      <c r="X130" s="476"/>
      <c r="Y130" s="135" t="str">
        <f t="shared" si="29"/>
        <v>x</v>
      </c>
      <c r="Z130" s="426" t="str">
        <f t="shared" si="30"/>
        <v/>
      </c>
      <c r="AA130" s="136" t="str">
        <f t="shared" si="31"/>
        <v/>
      </c>
      <c r="AB130" s="185"/>
      <c r="AC130" s="185"/>
      <c r="AD130" s="185"/>
      <c r="AE130" s="185"/>
      <c r="AF130" s="185"/>
    </row>
    <row r="131" spans="1:32" s="115" customFormat="1" ht="16" customHeight="1">
      <c r="A131" s="273">
        <v>45335</v>
      </c>
      <c r="B131" s="109" t="s">
        <v>38</v>
      </c>
      <c r="C131" s="137" t="s">
        <v>54</v>
      </c>
      <c r="D131" s="137" t="s">
        <v>324</v>
      </c>
      <c r="E131" s="137"/>
      <c r="F131" s="109" t="s">
        <v>301</v>
      </c>
      <c r="G131" s="133">
        <v>5143</v>
      </c>
      <c r="H131" s="133">
        <f>1124-61</f>
        <v>1063</v>
      </c>
      <c r="I131" s="109"/>
      <c r="J131" s="109"/>
      <c r="K131" s="133"/>
      <c r="L131" s="109"/>
      <c r="M131" s="109"/>
      <c r="N131" s="109"/>
      <c r="O131" s="391"/>
      <c r="P131" s="138" t="s">
        <v>2</v>
      </c>
      <c r="Q131" s="139">
        <v>3983300</v>
      </c>
      <c r="R131" s="392">
        <v>0.17399999999999999</v>
      </c>
      <c r="S131" s="393">
        <f t="shared" si="26"/>
        <v>693094.2</v>
      </c>
      <c r="T131" s="387">
        <f t="shared" si="27"/>
        <v>774.50904141551621</v>
      </c>
      <c r="U131" s="141">
        <f t="shared" si="28"/>
        <v>45395</v>
      </c>
      <c r="V131" s="142">
        <v>45385</v>
      </c>
      <c r="W131" s="143"/>
      <c r="X131" s="476"/>
      <c r="Y131" s="135" t="str">
        <f t="shared" si="29"/>
        <v/>
      </c>
      <c r="Z131" s="426" t="str">
        <f t="shared" si="30"/>
        <v/>
      </c>
      <c r="AA131" s="136" t="str">
        <f t="shared" si="31"/>
        <v>x</v>
      </c>
      <c r="AB131" s="185"/>
      <c r="AC131" s="185"/>
      <c r="AD131" s="185"/>
      <c r="AE131" s="185"/>
      <c r="AF131" s="185"/>
    </row>
    <row r="132" spans="1:32" s="115" customFormat="1" ht="16" customHeight="1">
      <c r="A132" s="273">
        <v>45391</v>
      </c>
      <c r="B132" s="109" t="s">
        <v>38</v>
      </c>
      <c r="C132" s="137" t="s">
        <v>54</v>
      </c>
      <c r="D132" s="137" t="s">
        <v>325</v>
      </c>
      <c r="E132" s="137"/>
      <c r="F132" s="109" t="s">
        <v>326</v>
      </c>
      <c r="G132" s="133">
        <v>4068</v>
      </c>
      <c r="H132" s="133">
        <f>914-68</f>
        <v>846</v>
      </c>
      <c r="I132" s="109"/>
      <c r="J132" s="109"/>
      <c r="K132" s="133"/>
      <c r="L132" s="109"/>
      <c r="M132" s="109"/>
      <c r="N132" s="109"/>
      <c r="O132" s="391"/>
      <c r="P132" s="138" t="s">
        <v>2</v>
      </c>
      <c r="Q132" s="139">
        <v>2631270</v>
      </c>
      <c r="R132" s="392">
        <v>0.18</v>
      </c>
      <c r="S132" s="393">
        <f t="shared" si="26"/>
        <v>473628.6</v>
      </c>
      <c r="T132" s="387">
        <f t="shared" si="27"/>
        <v>646.82153392330383</v>
      </c>
      <c r="U132" s="141">
        <f t="shared" si="28"/>
        <v>45451</v>
      </c>
      <c r="V132" s="142">
        <v>45440</v>
      </c>
      <c r="W132" s="143" t="s">
        <v>327</v>
      </c>
      <c r="X132" s="476"/>
      <c r="Y132" s="135" t="str">
        <f t="shared" si="29"/>
        <v/>
      </c>
      <c r="Z132" s="426" t="str">
        <f t="shared" si="30"/>
        <v/>
      </c>
      <c r="AA132" s="136" t="str">
        <f t="shared" si="31"/>
        <v>x</v>
      </c>
      <c r="AB132" s="185"/>
      <c r="AC132" s="185"/>
      <c r="AD132" s="185"/>
      <c r="AE132" s="185"/>
      <c r="AF132" s="185"/>
    </row>
    <row r="133" spans="1:32" s="115" customFormat="1" ht="16" customHeight="1">
      <c r="A133" s="273">
        <v>45356</v>
      </c>
      <c r="B133" s="109" t="s">
        <v>38</v>
      </c>
      <c r="C133" s="137" t="s">
        <v>54</v>
      </c>
      <c r="D133" s="137" t="s">
        <v>328</v>
      </c>
      <c r="E133" s="138"/>
      <c r="F133" s="109" t="s">
        <v>291</v>
      </c>
      <c r="G133" s="133">
        <v>3657</v>
      </c>
      <c r="H133" s="133">
        <f>966-93</f>
        <v>873</v>
      </c>
      <c r="I133" s="109"/>
      <c r="J133" s="109"/>
      <c r="K133" s="133"/>
      <c r="L133" s="109"/>
      <c r="M133" s="109"/>
      <c r="N133" s="109"/>
      <c r="O133" s="391"/>
      <c r="P133" s="138" t="s">
        <v>5</v>
      </c>
      <c r="Q133" s="139">
        <v>2952050</v>
      </c>
      <c r="R133" s="392">
        <v>0.2</v>
      </c>
      <c r="S133" s="393">
        <f t="shared" si="26"/>
        <v>590410</v>
      </c>
      <c r="T133" s="387">
        <f t="shared" si="27"/>
        <v>807.23270440251576</v>
      </c>
      <c r="U133" s="141">
        <f t="shared" si="28"/>
        <v>45416</v>
      </c>
      <c r="V133" s="142"/>
      <c r="W133" s="143"/>
      <c r="X133" s="476"/>
      <c r="Y133" s="135" t="str">
        <f t="shared" si="29"/>
        <v/>
      </c>
      <c r="Z133" s="426" t="str">
        <f t="shared" si="30"/>
        <v/>
      </c>
      <c r="AA133" s="136" t="str">
        <f t="shared" si="31"/>
        <v/>
      </c>
      <c r="AB133" s="185"/>
      <c r="AC133" s="185"/>
      <c r="AD133" s="185"/>
      <c r="AE133" s="185"/>
      <c r="AF133" s="185"/>
    </row>
    <row r="134" spans="1:32" s="115" customFormat="1" ht="16" customHeight="1">
      <c r="A134" s="273">
        <v>45335</v>
      </c>
      <c r="B134" s="109" t="s">
        <v>38</v>
      </c>
      <c r="C134" s="137" t="s">
        <v>54</v>
      </c>
      <c r="D134" s="137" t="s">
        <v>329</v>
      </c>
      <c r="E134" s="137"/>
      <c r="F134" s="109" t="s">
        <v>50</v>
      </c>
      <c r="G134" s="133">
        <v>1344</v>
      </c>
      <c r="H134" s="133">
        <f>334-57</f>
        <v>277</v>
      </c>
      <c r="I134" s="109"/>
      <c r="J134" s="109"/>
      <c r="K134" s="133"/>
      <c r="L134" s="109"/>
      <c r="M134" s="109"/>
      <c r="N134" s="109"/>
      <c r="O134" s="391"/>
      <c r="P134" s="138" t="s">
        <v>2</v>
      </c>
      <c r="Q134" s="139">
        <v>806030</v>
      </c>
      <c r="R134" s="392">
        <v>0.18</v>
      </c>
      <c r="S134" s="393">
        <f t="shared" si="26"/>
        <v>145085.4</v>
      </c>
      <c r="T134" s="387">
        <f t="shared" si="27"/>
        <v>599.72470238095241</v>
      </c>
      <c r="U134" s="141">
        <f t="shared" si="28"/>
        <v>45395</v>
      </c>
      <c r="V134" s="142"/>
      <c r="W134" s="143"/>
      <c r="X134" s="476"/>
      <c r="Y134" s="135" t="str">
        <f t="shared" si="29"/>
        <v/>
      </c>
      <c r="Z134" s="426" t="str">
        <f t="shared" si="30"/>
        <v/>
      </c>
      <c r="AA134" s="136" t="str">
        <f t="shared" si="31"/>
        <v>x</v>
      </c>
      <c r="AB134" s="185"/>
      <c r="AC134" s="185"/>
      <c r="AD134" s="185"/>
      <c r="AE134" s="185"/>
      <c r="AF134" s="185"/>
    </row>
    <row r="135" spans="1:32" s="115" customFormat="1" ht="16" customHeight="1">
      <c r="A135" s="273">
        <v>45335</v>
      </c>
      <c r="B135" s="109" t="s">
        <v>38</v>
      </c>
      <c r="C135" s="137" t="s">
        <v>54</v>
      </c>
      <c r="D135" s="137" t="s">
        <v>330</v>
      </c>
      <c r="E135" s="138"/>
      <c r="F135" s="109" t="s">
        <v>331</v>
      </c>
      <c r="G135" s="133">
        <v>712</v>
      </c>
      <c r="H135" s="133">
        <f>215-26</f>
        <v>189</v>
      </c>
      <c r="I135" s="109"/>
      <c r="J135" s="109"/>
      <c r="K135" s="133"/>
      <c r="L135" s="109"/>
      <c r="M135" s="109"/>
      <c r="N135" s="109"/>
      <c r="O135" s="391"/>
      <c r="P135" s="138" t="s">
        <v>5</v>
      </c>
      <c r="Q135" s="139">
        <v>569430</v>
      </c>
      <c r="R135" s="392">
        <v>0.1895</v>
      </c>
      <c r="S135" s="393">
        <f t="shared" si="26"/>
        <v>107906.985</v>
      </c>
      <c r="T135" s="387">
        <f t="shared" si="27"/>
        <v>799.76123595505624</v>
      </c>
      <c r="U135" s="141">
        <f t="shared" si="28"/>
        <v>45395</v>
      </c>
      <c r="V135" s="142"/>
      <c r="W135" s="143"/>
      <c r="X135" s="476"/>
      <c r="Y135" s="135" t="str">
        <f t="shared" si="29"/>
        <v/>
      </c>
      <c r="Z135" s="426" t="str">
        <f t="shared" si="30"/>
        <v/>
      </c>
      <c r="AA135" s="136" t="str">
        <f t="shared" si="31"/>
        <v/>
      </c>
      <c r="AB135" s="185"/>
      <c r="AC135" s="185"/>
      <c r="AD135" s="185"/>
      <c r="AE135" s="185"/>
      <c r="AF135" s="185"/>
    </row>
    <row r="136" spans="1:32" s="115" customFormat="1" ht="16" customHeight="1">
      <c r="A136" s="273">
        <v>45365</v>
      </c>
      <c r="B136" s="109" t="s">
        <v>38</v>
      </c>
      <c r="C136" s="137" t="s">
        <v>54</v>
      </c>
      <c r="D136" s="137" t="s">
        <v>332</v>
      </c>
      <c r="E136" s="138"/>
      <c r="F136" s="109" t="s">
        <v>291</v>
      </c>
      <c r="G136" s="133">
        <v>2318</v>
      </c>
      <c r="H136" s="133">
        <f>606-50</f>
        <v>556</v>
      </c>
      <c r="I136" s="109"/>
      <c r="J136" s="109"/>
      <c r="K136" s="133"/>
      <c r="L136" s="109"/>
      <c r="M136" s="109"/>
      <c r="N136" s="109"/>
      <c r="O136" s="391"/>
      <c r="P136" s="138" t="s">
        <v>7</v>
      </c>
      <c r="Q136" s="139">
        <v>1867880</v>
      </c>
      <c r="R136" s="392">
        <v>0.2</v>
      </c>
      <c r="S136" s="393">
        <f t="shared" si="26"/>
        <v>373576</v>
      </c>
      <c r="T136" s="387">
        <f t="shared" si="27"/>
        <v>805.81535806729937</v>
      </c>
      <c r="U136" s="141">
        <f t="shared" si="28"/>
        <v>45425</v>
      </c>
      <c r="V136" s="142">
        <v>45385</v>
      </c>
      <c r="W136" s="143" t="s">
        <v>252</v>
      </c>
      <c r="X136" s="476"/>
      <c r="Y136" s="135" t="str">
        <f t="shared" si="29"/>
        <v>x</v>
      </c>
      <c r="Z136" s="426" t="str">
        <f t="shared" si="30"/>
        <v>x</v>
      </c>
      <c r="AA136" s="136" t="str">
        <f t="shared" si="31"/>
        <v/>
      </c>
      <c r="AB136" s="185"/>
      <c r="AC136" s="185"/>
      <c r="AD136" s="185"/>
      <c r="AE136" s="185"/>
      <c r="AF136" s="185"/>
    </row>
    <row r="137" spans="1:32" s="115" customFormat="1" ht="16" customHeight="1">
      <c r="A137" s="273">
        <v>45365</v>
      </c>
      <c r="B137" s="109" t="s">
        <v>38</v>
      </c>
      <c r="C137" s="137" t="s">
        <v>54</v>
      </c>
      <c r="D137" s="137" t="s">
        <v>333</v>
      </c>
      <c r="E137" s="137"/>
      <c r="F137" s="109" t="s">
        <v>321</v>
      </c>
      <c r="G137" s="133">
        <v>8962</v>
      </c>
      <c r="H137" s="133">
        <f>2082-148</f>
        <v>1934</v>
      </c>
      <c r="I137" s="109"/>
      <c r="J137" s="109"/>
      <c r="K137" s="133"/>
      <c r="L137" s="109"/>
      <c r="M137" s="109"/>
      <c r="N137" s="109"/>
      <c r="O137" s="391"/>
      <c r="P137" s="138" t="s">
        <v>2</v>
      </c>
      <c r="Q137" s="139">
        <v>6646920</v>
      </c>
      <c r="R137" s="392">
        <v>0.18</v>
      </c>
      <c r="S137" s="393">
        <f t="shared" si="26"/>
        <v>1196445.5999999999</v>
      </c>
      <c r="T137" s="387">
        <f t="shared" si="27"/>
        <v>741.6781968310645</v>
      </c>
      <c r="U137" s="141">
        <f t="shared" si="28"/>
        <v>45425</v>
      </c>
      <c r="V137" s="142">
        <v>45385</v>
      </c>
      <c r="W137" s="143" t="s">
        <v>252</v>
      </c>
      <c r="X137" s="476">
        <v>1</v>
      </c>
      <c r="Y137" s="135" t="str">
        <f t="shared" si="29"/>
        <v/>
      </c>
      <c r="Z137" s="426" t="str">
        <f t="shared" si="30"/>
        <v/>
      </c>
      <c r="AA137" s="136" t="str">
        <f t="shared" si="31"/>
        <v>x</v>
      </c>
      <c r="AB137" s="185"/>
      <c r="AC137" s="185"/>
      <c r="AD137" s="185"/>
      <c r="AE137" s="185"/>
      <c r="AF137" s="185"/>
    </row>
    <row r="138" spans="1:32" s="115" customFormat="1" ht="16" customHeight="1">
      <c r="A138" s="273">
        <v>45344</v>
      </c>
      <c r="B138" s="109" t="s">
        <v>38</v>
      </c>
      <c r="C138" s="137" t="s">
        <v>54</v>
      </c>
      <c r="D138" s="137" t="s">
        <v>334</v>
      </c>
      <c r="E138" s="138"/>
      <c r="F138" s="109" t="s">
        <v>335</v>
      </c>
      <c r="G138" s="133">
        <v>811</v>
      </c>
      <c r="H138" s="133">
        <f>222-26</f>
        <v>196</v>
      </c>
      <c r="I138" s="109"/>
      <c r="J138" s="109"/>
      <c r="K138" s="133"/>
      <c r="L138" s="109"/>
      <c r="M138" s="109"/>
      <c r="N138" s="109"/>
      <c r="O138" s="391"/>
      <c r="P138" s="138" t="s">
        <v>5</v>
      </c>
      <c r="Q138" s="139">
        <v>946120</v>
      </c>
      <c r="R138" s="392">
        <v>0.19900000000000001</v>
      </c>
      <c r="S138" s="393">
        <f t="shared" si="26"/>
        <v>188277.88</v>
      </c>
      <c r="T138" s="387">
        <f t="shared" si="27"/>
        <v>1166.6091245376078</v>
      </c>
      <c r="U138" s="141">
        <f t="shared" si="28"/>
        <v>45404</v>
      </c>
      <c r="V138" s="142"/>
      <c r="W138" s="143"/>
      <c r="X138" s="476"/>
      <c r="Y138" s="135" t="str">
        <f t="shared" si="29"/>
        <v/>
      </c>
      <c r="Z138" s="426" t="str">
        <f t="shared" si="30"/>
        <v/>
      </c>
      <c r="AA138" s="136" t="str">
        <f t="shared" si="31"/>
        <v/>
      </c>
      <c r="AB138" s="185"/>
      <c r="AC138" s="185"/>
      <c r="AD138" s="185"/>
      <c r="AE138" s="185"/>
      <c r="AF138" s="185"/>
    </row>
    <row r="139" spans="1:32" s="115" customFormat="1" ht="16" customHeight="1">
      <c r="A139" s="273">
        <v>45356</v>
      </c>
      <c r="B139" s="109" t="s">
        <v>38</v>
      </c>
      <c r="C139" s="137" t="s">
        <v>336</v>
      </c>
      <c r="D139" s="137" t="s">
        <v>337</v>
      </c>
      <c r="E139" s="138"/>
      <c r="F139" s="109" t="s">
        <v>83</v>
      </c>
      <c r="G139" s="133">
        <v>1887</v>
      </c>
      <c r="H139" s="133">
        <f>656-61</f>
        <v>595</v>
      </c>
      <c r="I139" s="109"/>
      <c r="J139" s="109"/>
      <c r="K139" s="133"/>
      <c r="L139" s="109"/>
      <c r="M139" s="109"/>
      <c r="N139" s="109"/>
      <c r="O139" s="391"/>
      <c r="P139" s="138" t="s">
        <v>5</v>
      </c>
      <c r="Q139" s="139">
        <v>1763470</v>
      </c>
      <c r="R139" s="392">
        <v>0.19600000000000001</v>
      </c>
      <c r="S139" s="393">
        <f t="shared" si="26"/>
        <v>345640.12</v>
      </c>
      <c r="T139" s="387">
        <f t="shared" si="27"/>
        <v>934.53630100688929</v>
      </c>
      <c r="U139" s="141">
        <f t="shared" si="28"/>
        <v>45416</v>
      </c>
      <c r="V139" s="142"/>
      <c r="W139" s="143"/>
      <c r="X139" s="476"/>
      <c r="Y139" s="135" t="str">
        <f t="shared" si="29"/>
        <v/>
      </c>
      <c r="Z139" s="426" t="str">
        <f t="shared" si="30"/>
        <v/>
      </c>
      <c r="AA139" s="136" t="str">
        <f t="shared" si="31"/>
        <v/>
      </c>
      <c r="AB139" s="185"/>
      <c r="AC139" s="185"/>
      <c r="AD139" s="185"/>
      <c r="AE139" s="185"/>
      <c r="AF139" s="185"/>
    </row>
    <row r="140" spans="1:32" s="115" customFormat="1" ht="16" customHeight="1">
      <c r="A140" s="273">
        <v>45358</v>
      </c>
      <c r="B140" s="109" t="s">
        <v>38</v>
      </c>
      <c r="C140" s="137" t="s">
        <v>54</v>
      </c>
      <c r="D140" s="137" t="s">
        <v>338</v>
      </c>
      <c r="E140" s="138"/>
      <c r="F140" s="109" t="s">
        <v>213</v>
      </c>
      <c r="G140" s="133">
        <v>400</v>
      </c>
      <c r="H140" s="133">
        <v>135</v>
      </c>
      <c r="I140" s="109"/>
      <c r="J140" s="109"/>
      <c r="K140" s="133"/>
      <c r="L140" s="109"/>
      <c r="M140" s="109"/>
      <c r="N140" s="109"/>
      <c r="O140" s="391"/>
      <c r="P140" s="138" t="s">
        <v>5</v>
      </c>
      <c r="Q140" s="139">
        <v>396750</v>
      </c>
      <c r="R140" s="392">
        <v>0.2</v>
      </c>
      <c r="S140" s="393">
        <f t="shared" ref="S140:S171" si="32">Q140*R140</f>
        <v>79350</v>
      </c>
      <c r="T140" s="387">
        <f t="shared" ref="T140:T171" si="33">Q140/G140</f>
        <v>991.875</v>
      </c>
      <c r="U140" s="141">
        <f t="shared" si="28"/>
        <v>45418</v>
      </c>
      <c r="V140" s="142"/>
      <c r="W140" s="143"/>
      <c r="X140" s="476"/>
      <c r="Y140" s="135" t="str">
        <f t="shared" ref="Y140:Y162" si="34">IF(OR(P140="Ordre",P140="Ferdig"),"x","")</f>
        <v/>
      </c>
      <c r="Z140" s="426" t="str">
        <f t="shared" ref="Z140:Z162" si="35">IF(P140="Ferdig","x","")</f>
        <v/>
      </c>
      <c r="AA140" s="136" t="str">
        <f t="shared" ref="AA140:AA162" si="36">IF(P140="Tapt","x","")</f>
        <v/>
      </c>
      <c r="AB140" s="185"/>
      <c r="AC140" s="185"/>
      <c r="AD140" s="185"/>
      <c r="AE140" s="185"/>
      <c r="AF140" s="185"/>
    </row>
    <row r="141" spans="1:32" s="115" customFormat="1" ht="16" customHeight="1">
      <c r="A141" s="273">
        <v>45358</v>
      </c>
      <c r="B141" s="109" t="s">
        <v>38</v>
      </c>
      <c r="C141" s="137" t="s">
        <v>54</v>
      </c>
      <c r="D141" s="137" t="s">
        <v>339</v>
      </c>
      <c r="E141" s="138"/>
      <c r="F141" s="109" t="s">
        <v>65</v>
      </c>
      <c r="G141" s="133">
        <v>1487</v>
      </c>
      <c r="H141" s="133">
        <f>386-40</f>
        <v>346</v>
      </c>
      <c r="I141" s="109"/>
      <c r="J141" s="109"/>
      <c r="K141" s="133"/>
      <c r="L141" s="109"/>
      <c r="M141" s="109"/>
      <c r="N141" s="109"/>
      <c r="O141" s="391"/>
      <c r="P141" s="138" t="s">
        <v>5</v>
      </c>
      <c r="Q141" s="139">
        <v>1310920</v>
      </c>
      <c r="R141" s="392">
        <v>0.2</v>
      </c>
      <c r="S141" s="393">
        <f t="shared" si="32"/>
        <v>262184</v>
      </c>
      <c r="T141" s="387">
        <f t="shared" si="33"/>
        <v>881.58708809683924</v>
      </c>
      <c r="U141" s="141">
        <f t="shared" si="28"/>
        <v>45418</v>
      </c>
      <c r="V141" s="142"/>
      <c r="W141" s="143"/>
      <c r="X141" s="476"/>
      <c r="Y141" s="135" t="str">
        <f t="shared" si="34"/>
        <v/>
      </c>
      <c r="Z141" s="426" t="str">
        <f t="shared" si="35"/>
        <v/>
      </c>
      <c r="AA141" s="136" t="str">
        <f t="shared" si="36"/>
        <v/>
      </c>
      <c r="AB141" s="185"/>
      <c r="AC141" s="185"/>
      <c r="AD141" s="185"/>
      <c r="AE141" s="185"/>
      <c r="AF141" s="185"/>
    </row>
    <row r="142" spans="1:32" s="115" customFormat="1" ht="16" customHeight="1">
      <c r="A142" s="273">
        <v>45393</v>
      </c>
      <c r="B142" s="109" t="s">
        <v>38</v>
      </c>
      <c r="C142" s="137" t="s">
        <v>340</v>
      </c>
      <c r="D142" s="137" t="s">
        <v>341</v>
      </c>
      <c r="E142" s="138"/>
      <c r="F142" s="109" t="s">
        <v>83</v>
      </c>
      <c r="G142" s="133">
        <v>3121</v>
      </c>
      <c r="H142" s="133">
        <f>699-58</f>
        <v>641</v>
      </c>
      <c r="I142" s="109"/>
      <c r="J142" s="109"/>
      <c r="K142" s="133"/>
      <c r="L142" s="109"/>
      <c r="M142" s="109"/>
      <c r="N142" s="109"/>
      <c r="O142" s="391"/>
      <c r="P142" s="138" t="s">
        <v>7</v>
      </c>
      <c r="Q142" s="139">
        <v>2400000</v>
      </c>
      <c r="R142" s="392">
        <v>0.12330000000000001</v>
      </c>
      <c r="S142" s="393">
        <f t="shared" si="32"/>
        <v>295920</v>
      </c>
      <c r="T142" s="387">
        <f t="shared" si="33"/>
        <v>768.98429990387694</v>
      </c>
      <c r="U142" s="141">
        <f t="shared" si="28"/>
        <v>45453</v>
      </c>
      <c r="V142" s="142"/>
      <c r="W142" s="143"/>
      <c r="X142" s="476"/>
      <c r="Y142" s="135" t="str">
        <f t="shared" si="34"/>
        <v>x</v>
      </c>
      <c r="Z142" s="426" t="str">
        <f t="shared" si="35"/>
        <v>x</v>
      </c>
      <c r="AA142" s="136" t="str">
        <f t="shared" si="36"/>
        <v/>
      </c>
      <c r="AB142" s="185"/>
      <c r="AC142" s="185"/>
      <c r="AD142" s="185"/>
      <c r="AE142" s="185"/>
      <c r="AF142" s="185"/>
    </row>
    <row r="143" spans="1:32" s="115" customFormat="1" ht="16" customHeight="1">
      <c r="A143" s="273">
        <v>45364</v>
      </c>
      <c r="B143" s="109" t="s">
        <v>38</v>
      </c>
      <c r="C143" s="137" t="s">
        <v>54</v>
      </c>
      <c r="D143" s="137" t="s">
        <v>342</v>
      </c>
      <c r="E143" s="138"/>
      <c r="F143" s="109" t="s">
        <v>65</v>
      </c>
      <c r="G143" s="133">
        <v>1778</v>
      </c>
      <c r="H143" s="133">
        <f>481-34</f>
        <v>447</v>
      </c>
      <c r="I143" s="109"/>
      <c r="J143" s="109"/>
      <c r="K143" s="133"/>
      <c r="L143" s="109"/>
      <c r="M143" s="109"/>
      <c r="N143" s="109"/>
      <c r="O143" s="391"/>
      <c r="P143" s="138" t="s">
        <v>7</v>
      </c>
      <c r="Q143" s="139">
        <v>1469410</v>
      </c>
      <c r="R143" s="392">
        <v>0.19</v>
      </c>
      <c r="S143" s="393">
        <f t="shared" si="32"/>
        <v>279187.90000000002</v>
      </c>
      <c r="T143" s="387">
        <f t="shared" si="33"/>
        <v>826.4398200224972</v>
      </c>
      <c r="U143" s="141">
        <f t="shared" si="28"/>
        <v>45424</v>
      </c>
      <c r="V143" s="142"/>
      <c r="W143" s="143"/>
      <c r="X143" s="476"/>
      <c r="Y143" s="135" t="str">
        <f t="shared" si="34"/>
        <v>x</v>
      </c>
      <c r="Z143" s="426" t="str">
        <f t="shared" si="35"/>
        <v>x</v>
      </c>
      <c r="AA143" s="136" t="str">
        <f t="shared" si="36"/>
        <v/>
      </c>
      <c r="AB143" s="185"/>
      <c r="AC143" s="185"/>
      <c r="AD143" s="185"/>
      <c r="AE143" s="185"/>
      <c r="AF143" s="185"/>
    </row>
    <row r="144" spans="1:32" s="115" customFormat="1" ht="16" customHeight="1">
      <c r="A144" s="273">
        <v>45370</v>
      </c>
      <c r="B144" s="109" t="s">
        <v>38</v>
      </c>
      <c r="C144" s="137" t="s">
        <v>186</v>
      </c>
      <c r="D144" s="137" t="s">
        <v>343</v>
      </c>
      <c r="E144" s="138"/>
      <c r="F144" s="109" t="s">
        <v>50</v>
      </c>
      <c r="G144" s="133">
        <v>2465</v>
      </c>
      <c r="H144" s="133">
        <f>636-64</f>
        <v>572</v>
      </c>
      <c r="I144" s="109"/>
      <c r="J144" s="109"/>
      <c r="K144" s="133"/>
      <c r="L144" s="109"/>
      <c r="M144" s="109"/>
      <c r="N144" s="109"/>
      <c r="O144" s="391"/>
      <c r="P144" s="138" t="s">
        <v>5</v>
      </c>
      <c r="Q144" s="139">
        <v>2048050</v>
      </c>
      <c r="R144" s="392">
        <v>0.1804</v>
      </c>
      <c r="S144" s="393">
        <f t="shared" si="32"/>
        <v>369468.22000000003</v>
      </c>
      <c r="T144" s="387">
        <f t="shared" si="33"/>
        <v>830.85192697768764</v>
      </c>
      <c r="U144" s="141">
        <f t="shared" si="28"/>
        <v>45430</v>
      </c>
      <c r="V144" s="142"/>
      <c r="W144" s="143"/>
      <c r="X144" s="476"/>
      <c r="Y144" s="135" t="str">
        <f t="shared" si="34"/>
        <v/>
      </c>
      <c r="Z144" s="426" t="str">
        <f t="shared" si="35"/>
        <v/>
      </c>
      <c r="AA144" s="136" t="str">
        <f t="shared" si="36"/>
        <v/>
      </c>
      <c r="AB144" s="185"/>
      <c r="AC144" s="185"/>
      <c r="AD144" s="185"/>
      <c r="AE144" s="185"/>
      <c r="AF144" s="185"/>
    </row>
    <row r="145" spans="1:32" s="115" customFormat="1" ht="16" customHeight="1">
      <c r="A145" s="273">
        <v>45533</v>
      </c>
      <c r="B145" s="109" t="s">
        <v>38</v>
      </c>
      <c r="C145" s="137" t="s">
        <v>54</v>
      </c>
      <c r="D145" s="137" t="s">
        <v>344</v>
      </c>
      <c r="E145" s="138"/>
      <c r="F145" s="109" t="s">
        <v>50</v>
      </c>
      <c r="G145" s="133">
        <v>5924</v>
      </c>
      <c r="H145" s="133">
        <f>1628-112</f>
        <v>1516</v>
      </c>
      <c r="I145" s="109"/>
      <c r="J145" s="109"/>
      <c r="K145" s="133"/>
      <c r="L145" s="109"/>
      <c r="M145" s="109"/>
      <c r="N145" s="109"/>
      <c r="O145" s="391"/>
      <c r="P145" s="138" t="s">
        <v>7</v>
      </c>
      <c r="Q145" s="139">
        <v>5864265</v>
      </c>
      <c r="R145" s="392">
        <v>0.126</v>
      </c>
      <c r="S145" s="393">
        <f t="shared" si="32"/>
        <v>738897.39</v>
      </c>
      <c r="T145" s="387">
        <f t="shared" si="33"/>
        <v>989.9164415935179</v>
      </c>
      <c r="U145" s="141">
        <f t="shared" si="28"/>
        <v>45593</v>
      </c>
      <c r="V145" s="142"/>
      <c r="W145" s="143" t="s">
        <v>345</v>
      </c>
      <c r="X145" s="476"/>
      <c r="Y145" s="135" t="str">
        <f t="shared" si="34"/>
        <v>x</v>
      </c>
      <c r="Z145" s="426" t="str">
        <f t="shared" si="35"/>
        <v>x</v>
      </c>
      <c r="AA145" s="136" t="str">
        <f t="shared" si="36"/>
        <v/>
      </c>
      <c r="AB145" s="185"/>
      <c r="AC145" s="185"/>
      <c r="AD145" s="185"/>
      <c r="AE145" s="185"/>
      <c r="AF145" s="185"/>
    </row>
    <row r="146" spans="1:32" s="115" customFormat="1" ht="16" customHeight="1">
      <c r="A146" s="273">
        <v>45386</v>
      </c>
      <c r="B146" s="109" t="s">
        <v>38</v>
      </c>
      <c r="C146" s="137" t="s">
        <v>54</v>
      </c>
      <c r="D146" s="137" t="s">
        <v>346</v>
      </c>
      <c r="E146" s="138"/>
      <c r="F146" s="109" t="s">
        <v>83</v>
      </c>
      <c r="G146" s="133">
        <v>1040</v>
      </c>
      <c r="H146" s="133">
        <f>253-27</f>
        <v>226</v>
      </c>
      <c r="I146" s="109"/>
      <c r="J146" s="109"/>
      <c r="K146" s="133"/>
      <c r="L146" s="109"/>
      <c r="M146" s="109"/>
      <c r="N146" s="109"/>
      <c r="O146" s="391"/>
      <c r="P146" s="138" t="s">
        <v>5</v>
      </c>
      <c r="Q146" s="139">
        <v>811150</v>
      </c>
      <c r="R146" s="392">
        <v>0.1993</v>
      </c>
      <c r="S146" s="393">
        <f t="shared" si="32"/>
        <v>161662.19500000001</v>
      </c>
      <c r="T146" s="387">
        <f t="shared" si="33"/>
        <v>779.95192307692309</v>
      </c>
      <c r="U146" s="141">
        <f t="shared" si="28"/>
        <v>45446</v>
      </c>
      <c r="V146" s="142"/>
      <c r="W146" s="143"/>
      <c r="X146" s="476"/>
      <c r="Y146" s="135" t="str">
        <f t="shared" si="34"/>
        <v/>
      </c>
      <c r="Z146" s="426" t="str">
        <f t="shared" si="35"/>
        <v/>
      </c>
      <c r="AA146" s="136" t="str">
        <f t="shared" si="36"/>
        <v/>
      </c>
      <c r="AB146" s="185"/>
      <c r="AC146" s="185"/>
      <c r="AD146" s="185"/>
      <c r="AE146" s="185"/>
      <c r="AF146" s="185"/>
    </row>
    <row r="147" spans="1:32" s="115" customFormat="1" ht="16" customHeight="1">
      <c r="A147" s="273">
        <v>45506</v>
      </c>
      <c r="B147" s="109" t="s">
        <v>38</v>
      </c>
      <c r="C147" s="137" t="s">
        <v>164</v>
      </c>
      <c r="D147" s="137" t="s">
        <v>347</v>
      </c>
      <c r="E147" s="138"/>
      <c r="F147" s="109" t="s">
        <v>50</v>
      </c>
      <c r="G147" s="133">
        <v>10420</v>
      </c>
      <c r="H147" s="133">
        <f>2255-82</f>
        <v>2173</v>
      </c>
      <c r="I147" s="109"/>
      <c r="J147" s="109"/>
      <c r="K147" s="133"/>
      <c r="L147" s="109"/>
      <c r="M147" s="109"/>
      <c r="N147" s="109"/>
      <c r="O147" s="391"/>
      <c r="P147" s="138" t="s">
        <v>7</v>
      </c>
      <c r="Q147" s="139">
        <v>5319660</v>
      </c>
      <c r="R147" s="392">
        <v>9.2399999999999996E-2</v>
      </c>
      <c r="S147" s="393">
        <f t="shared" si="32"/>
        <v>491536.58399999997</v>
      </c>
      <c r="T147" s="387">
        <f t="shared" si="33"/>
        <v>510.52399232245682</v>
      </c>
      <c r="U147" s="141">
        <f t="shared" si="28"/>
        <v>45566</v>
      </c>
      <c r="V147" s="142"/>
      <c r="W147" s="143"/>
      <c r="X147" s="476"/>
      <c r="Y147" s="135" t="str">
        <f t="shared" si="34"/>
        <v>x</v>
      </c>
      <c r="Z147" s="426" t="str">
        <f t="shared" si="35"/>
        <v>x</v>
      </c>
      <c r="AA147" s="136" t="str">
        <f t="shared" si="36"/>
        <v/>
      </c>
      <c r="AB147" s="185"/>
      <c r="AC147" s="185"/>
      <c r="AD147" s="185"/>
      <c r="AE147" s="185"/>
      <c r="AF147" s="185"/>
    </row>
    <row r="148" spans="1:32" s="115" customFormat="1" ht="16" customHeight="1">
      <c r="A148" s="273">
        <v>45398</v>
      </c>
      <c r="B148" s="109" t="s">
        <v>38</v>
      </c>
      <c r="C148" s="137" t="s">
        <v>348</v>
      </c>
      <c r="D148" s="137" t="s">
        <v>349</v>
      </c>
      <c r="E148" s="138"/>
      <c r="F148" s="109" t="s">
        <v>185</v>
      </c>
      <c r="G148" s="133">
        <v>5884</v>
      </c>
      <c r="H148" s="133">
        <f>1404-100</f>
        <v>1304</v>
      </c>
      <c r="I148" s="109"/>
      <c r="J148" s="109"/>
      <c r="K148" s="133"/>
      <c r="L148" s="109"/>
      <c r="M148" s="109"/>
      <c r="N148" s="109"/>
      <c r="O148" s="391"/>
      <c r="P148" s="138" t="s">
        <v>5</v>
      </c>
      <c r="Q148" s="139">
        <v>4143450</v>
      </c>
      <c r="R148" s="392">
        <v>0.1847</v>
      </c>
      <c r="S148" s="393">
        <f t="shared" si="32"/>
        <v>765295.21499999997</v>
      </c>
      <c r="T148" s="387">
        <f t="shared" si="33"/>
        <v>704.18932698844321</v>
      </c>
      <c r="U148" s="141">
        <f t="shared" si="28"/>
        <v>45458</v>
      </c>
      <c r="V148" s="142"/>
      <c r="W148" s="143"/>
      <c r="X148" s="476"/>
      <c r="Y148" s="135" t="str">
        <f t="shared" si="34"/>
        <v/>
      </c>
      <c r="Z148" s="426" t="str">
        <f t="shared" si="35"/>
        <v/>
      </c>
      <c r="AA148" s="136" t="str">
        <f t="shared" si="36"/>
        <v/>
      </c>
      <c r="AB148" s="185"/>
      <c r="AC148" s="185"/>
      <c r="AD148" s="185"/>
      <c r="AE148" s="185"/>
      <c r="AF148" s="185"/>
    </row>
    <row r="149" spans="1:32" s="115" customFormat="1" ht="16" customHeight="1">
      <c r="A149" s="273">
        <v>45398</v>
      </c>
      <c r="B149" s="109" t="s">
        <v>38</v>
      </c>
      <c r="C149" s="137" t="s">
        <v>54</v>
      </c>
      <c r="D149" s="137" t="s">
        <v>350</v>
      </c>
      <c r="E149" s="138"/>
      <c r="F149" s="109" t="s">
        <v>351</v>
      </c>
      <c r="G149" s="133">
        <v>41094</v>
      </c>
      <c r="H149" s="133">
        <f>7645-228</f>
        <v>7417</v>
      </c>
      <c r="I149" s="109"/>
      <c r="J149" s="109"/>
      <c r="K149" s="133"/>
      <c r="L149" s="109"/>
      <c r="M149" s="109"/>
      <c r="N149" s="109"/>
      <c r="O149" s="391"/>
      <c r="P149" s="138" t="s">
        <v>5</v>
      </c>
      <c r="Q149" s="139">
        <v>21885840</v>
      </c>
      <c r="R149" s="392">
        <v>0.09</v>
      </c>
      <c r="S149" s="393">
        <f t="shared" si="32"/>
        <v>1969725.5999999999</v>
      </c>
      <c r="T149" s="387">
        <f t="shared" si="33"/>
        <v>532.57993867717914</v>
      </c>
      <c r="U149" s="141">
        <f t="shared" si="28"/>
        <v>45458</v>
      </c>
      <c r="V149" s="142"/>
      <c r="W149" s="143" t="s">
        <v>352</v>
      </c>
      <c r="X149" s="476">
        <v>1</v>
      </c>
      <c r="Y149" s="135" t="str">
        <f t="shared" si="34"/>
        <v/>
      </c>
      <c r="Z149" s="426" t="str">
        <f t="shared" si="35"/>
        <v/>
      </c>
      <c r="AA149" s="136" t="str">
        <f t="shared" si="36"/>
        <v/>
      </c>
      <c r="AB149" s="185"/>
      <c r="AC149" s="185"/>
      <c r="AD149" s="185"/>
      <c r="AE149" s="185"/>
      <c r="AF149" s="185"/>
    </row>
    <row r="150" spans="1:32" s="115" customFormat="1" ht="16" customHeight="1">
      <c r="A150" s="273">
        <v>45397</v>
      </c>
      <c r="B150" s="109" t="s">
        <v>38</v>
      </c>
      <c r="C150" s="137" t="s">
        <v>353</v>
      </c>
      <c r="D150" s="137" t="s">
        <v>354</v>
      </c>
      <c r="E150" s="138"/>
      <c r="F150" s="109" t="s">
        <v>355</v>
      </c>
      <c r="G150" s="133">
        <v>1577</v>
      </c>
      <c r="H150" s="133">
        <f>528-51</f>
        <v>477</v>
      </c>
      <c r="I150" s="109"/>
      <c r="J150" s="109"/>
      <c r="K150" s="133"/>
      <c r="L150" s="109"/>
      <c r="M150" s="109"/>
      <c r="N150" s="109"/>
      <c r="O150" s="391"/>
      <c r="P150" s="138" t="s">
        <v>5</v>
      </c>
      <c r="Q150" s="139">
        <v>1789630</v>
      </c>
      <c r="R150" s="392">
        <v>0.22</v>
      </c>
      <c r="S150" s="393">
        <f t="shared" si="32"/>
        <v>393718.6</v>
      </c>
      <c r="T150" s="387">
        <f t="shared" si="33"/>
        <v>1134.8319594166139</v>
      </c>
      <c r="U150" s="141">
        <f t="shared" si="28"/>
        <v>45457</v>
      </c>
      <c r="V150" s="142"/>
      <c r="W150" s="143"/>
      <c r="X150" s="476"/>
      <c r="Y150" s="135" t="str">
        <f t="shared" si="34"/>
        <v/>
      </c>
      <c r="Z150" s="426" t="str">
        <f t="shared" si="35"/>
        <v/>
      </c>
      <c r="AA150" s="136" t="str">
        <f t="shared" si="36"/>
        <v/>
      </c>
      <c r="AB150" s="185"/>
      <c r="AC150" s="185"/>
      <c r="AD150" s="185"/>
      <c r="AE150" s="185"/>
      <c r="AF150" s="185"/>
    </row>
    <row r="151" spans="1:32" s="115" customFormat="1" ht="16" customHeight="1">
      <c r="A151" s="273">
        <v>45546</v>
      </c>
      <c r="B151" s="109" t="s">
        <v>38</v>
      </c>
      <c r="C151" s="137" t="s">
        <v>336</v>
      </c>
      <c r="D151" s="137" t="s">
        <v>356</v>
      </c>
      <c r="E151" s="138"/>
      <c r="F151" s="109" t="s">
        <v>357</v>
      </c>
      <c r="G151" s="133">
        <v>366</v>
      </c>
      <c r="H151" s="133">
        <f>180-16</f>
        <v>164</v>
      </c>
      <c r="I151" s="109"/>
      <c r="J151" s="109"/>
      <c r="K151" s="133"/>
      <c r="L151" s="109"/>
      <c r="M151" s="109"/>
      <c r="N151" s="109"/>
      <c r="O151" s="391"/>
      <c r="P151" s="138" t="s">
        <v>7</v>
      </c>
      <c r="Q151" s="139">
        <v>431420</v>
      </c>
      <c r="R151" s="392">
        <v>0.18</v>
      </c>
      <c r="S151" s="393">
        <f t="shared" si="32"/>
        <v>77655.599999999991</v>
      </c>
      <c r="T151" s="387">
        <f t="shared" si="33"/>
        <v>1178.7431693989072</v>
      </c>
      <c r="U151" s="141">
        <f t="shared" si="28"/>
        <v>45606</v>
      </c>
      <c r="V151" s="142"/>
      <c r="W151" s="143"/>
      <c r="X151" s="476"/>
      <c r="Y151" s="135" t="str">
        <f t="shared" si="34"/>
        <v>x</v>
      </c>
      <c r="Z151" s="426" t="str">
        <f t="shared" si="35"/>
        <v>x</v>
      </c>
      <c r="AA151" s="136" t="str">
        <f t="shared" si="36"/>
        <v/>
      </c>
      <c r="AB151" s="185"/>
      <c r="AC151" s="185"/>
      <c r="AD151" s="185"/>
      <c r="AE151" s="185"/>
      <c r="AF151" s="185"/>
    </row>
    <row r="152" spans="1:32" s="115" customFormat="1" ht="16" customHeight="1">
      <c r="A152" s="273">
        <v>45404</v>
      </c>
      <c r="B152" s="109" t="s">
        <v>38</v>
      </c>
      <c r="C152" s="137" t="s">
        <v>54</v>
      </c>
      <c r="D152" s="137" t="s">
        <v>358</v>
      </c>
      <c r="E152" s="138"/>
      <c r="F152" s="109" t="s">
        <v>50</v>
      </c>
      <c r="G152" s="133">
        <v>2033</v>
      </c>
      <c r="H152" s="133">
        <f>547-51</f>
        <v>496</v>
      </c>
      <c r="I152" s="109"/>
      <c r="J152" s="109"/>
      <c r="K152" s="133"/>
      <c r="L152" s="109"/>
      <c r="M152" s="109"/>
      <c r="N152" s="109"/>
      <c r="O152" s="391"/>
      <c r="P152" s="138" t="s">
        <v>5</v>
      </c>
      <c r="Q152" s="139">
        <v>1789140</v>
      </c>
      <c r="R152" s="392">
        <v>0.16</v>
      </c>
      <c r="S152" s="393">
        <f t="shared" si="32"/>
        <v>286262.40000000002</v>
      </c>
      <c r="T152" s="387">
        <f t="shared" si="33"/>
        <v>880.04918839153959</v>
      </c>
      <c r="U152" s="141">
        <f t="shared" si="28"/>
        <v>45464</v>
      </c>
      <c r="V152" s="142"/>
      <c r="W152" s="143"/>
      <c r="X152" s="476"/>
      <c r="Y152" s="135" t="str">
        <f t="shared" si="34"/>
        <v/>
      </c>
      <c r="Z152" s="426" t="str">
        <f t="shared" si="35"/>
        <v/>
      </c>
      <c r="AA152" s="136" t="str">
        <f t="shared" si="36"/>
        <v/>
      </c>
      <c r="AB152" s="185"/>
      <c r="AC152" s="185"/>
      <c r="AD152" s="185"/>
      <c r="AE152" s="185"/>
      <c r="AF152" s="185"/>
    </row>
    <row r="153" spans="1:32" s="115" customFormat="1" ht="16" customHeight="1">
      <c r="A153" s="273">
        <v>45405</v>
      </c>
      <c r="B153" s="109" t="s">
        <v>38</v>
      </c>
      <c r="C153" s="137" t="s">
        <v>359</v>
      </c>
      <c r="D153" s="137" t="s">
        <v>360</v>
      </c>
      <c r="E153" s="138"/>
      <c r="F153" s="109" t="s">
        <v>361</v>
      </c>
      <c r="G153" s="133">
        <v>1225</v>
      </c>
      <c r="H153" s="133">
        <v>295</v>
      </c>
      <c r="I153" s="109"/>
      <c r="J153" s="109"/>
      <c r="K153" s="133"/>
      <c r="L153" s="109"/>
      <c r="M153" s="109"/>
      <c r="N153" s="109"/>
      <c r="O153" s="391"/>
      <c r="P153" s="138" t="s">
        <v>5</v>
      </c>
      <c r="Q153" s="139">
        <v>823060</v>
      </c>
      <c r="R153" s="392">
        <v>0.1646</v>
      </c>
      <c r="S153" s="393">
        <f t="shared" si="32"/>
        <v>135475.67600000001</v>
      </c>
      <c r="T153" s="387">
        <f t="shared" si="33"/>
        <v>671.88571428571424</v>
      </c>
      <c r="U153" s="141">
        <f t="shared" si="28"/>
        <v>45465</v>
      </c>
      <c r="V153" s="142"/>
      <c r="W153" s="143"/>
      <c r="X153" s="476"/>
      <c r="Y153" s="135" t="str">
        <f t="shared" si="34"/>
        <v/>
      </c>
      <c r="Z153" s="426" t="str">
        <f t="shared" si="35"/>
        <v/>
      </c>
      <c r="AA153" s="136" t="str">
        <f t="shared" si="36"/>
        <v/>
      </c>
      <c r="AB153" s="185"/>
      <c r="AC153" s="185"/>
      <c r="AD153" s="185"/>
      <c r="AE153" s="185"/>
      <c r="AF153" s="185"/>
    </row>
    <row r="154" spans="1:32" s="115" customFormat="1" ht="16" customHeight="1">
      <c r="A154" s="273">
        <v>45405</v>
      </c>
      <c r="B154" s="109" t="s">
        <v>38</v>
      </c>
      <c r="C154" s="137" t="s">
        <v>359</v>
      </c>
      <c r="D154" s="137" t="s">
        <v>362</v>
      </c>
      <c r="E154" s="137"/>
      <c r="F154" s="109" t="s">
        <v>363</v>
      </c>
      <c r="G154" s="133">
        <v>1329</v>
      </c>
      <c r="H154" s="133">
        <f>306-31</f>
        <v>275</v>
      </c>
      <c r="I154" s="109"/>
      <c r="J154" s="109"/>
      <c r="K154" s="133"/>
      <c r="L154" s="109"/>
      <c r="M154" s="109"/>
      <c r="N154" s="109"/>
      <c r="O154" s="391"/>
      <c r="P154" s="138" t="s">
        <v>2</v>
      </c>
      <c r="Q154" s="139">
        <v>871320</v>
      </c>
      <c r="R154" s="392">
        <v>0.16450000000000001</v>
      </c>
      <c r="S154" s="393">
        <f t="shared" si="32"/>
        <v>143332.14000000001</v>
      </c>
      <c r="T154" s="387">
        <f t="shared" si="33"/>
        <v>655.62076749435664</v>
      </c>
      <c r="U154" s="141">
        <f t="shared" si="28"/>
        <v>45465</v>
      </c>
      <c r="V154" s="142"/>
      <c r="W154" s="143"/>
      <c r="X154" s="476"/>
      <c r="Y154" s="135" t="str">
        <f t="shared" si="34"/>
        <v/>
      </c>
      <c r="Z154" s="426" t="str">
        <f t="shared" si="35"/>
        <v/>
      </c>
      <c r="AA154" s="136" t="str">
        <f t="shared" si="36"/>
        <v>x</v>
      </c>
      <c r="AB154" s="185"/>
      <c r="AC154" s="185"/>
      <c r="AD154" s="185"/>
      <c r="AE154" s="185"/>
      <c r="AF154" s="185"/>
    </row>
    <row r="155" spans="1:32" s="115" customFormat="1" ht="16" customHeight="1">
      <c r="A155" s="273">
        <v>45407</v>
      </c>
      <c r="B155" s="109" t="s">
        <v>38</v>
      </c>
      <c r="C155" s="137" t="s">
        <v>54</v>
      </c>
      <c r="D155" s="137" t="s">
        <v>364</v>
      </c>
      <c r="E155" s="138"/>
      <c r="F155" s="109" t="s">
        <v>365</v>
      </c>
      <c r="G155" s="133">
        <v>1187</v>
      </c>
      <c r="H155" s="133">
        <f>551-47</f>
        <v>504</v>
      </c>
      <c r="I155" s="109"/>
      <c r="J155" s="109"/>
      <c r="K155" s="133"/>
      <c r="L155" s="109"/>
      <c r="M155" s="109"/>
      <c r="N155" s="109"/>
      <c r="O155" s="391"/>
      <c r="P155" s="138" t="s">
        <v>5</v>
      </c>
      <c r="Q155" s="139">
        <v>1422460</v>
      </c>
      <c r="R155" s="392">
        <v>0.18</v>
      </c>
      <c r="S155" s="393">
        <f t="shared" si="32"/>
        <v>256042.8</v>
      </c>
      <c r="T155" s="387">
        <f t="shared" si="33"/>
        <v>1198.3656276326874</v>
      </c>
      <c r="U155" s="141">
        <f t="shared" si="28"/>
        <v>45467</v>
      </c>
      <c r="V155" s="142"/>
      <c r="W155" s="143"/>
      <c r="X155" s="476"/>
      <c r="Y155" s="135" t="str">
        <f t="shared" si="34"/>
        <v/>
      </c>
      <c r="Z155" s="426" t="str">
        <f t="shared" si="35"/>
        <v/>
      </c>
      <c r="AA155" s="136" t="str">
        <f t="shared" si="36"/>
        <v/>
      </c>
      <c r="AB155" s="185"/>
      <c r="AC155" s="185"/>
      <c r="AD155" s="185"/>
      <c r="AE155" s="185"/>
      <c r="AF155" s="185"/>
    </row>
    <row r="156" spans="1:32" s="115" customFormat="1" ht="16" customHeight="1">
      <c r="A156" s="273">
        <v>45456</v>
      </c>
      <c r="B156" s="109" t="s">
        <v>38</v>
      </c>
      <c r="C156" s="137" t="s">
        <v>366</v>
      </c>
      <c r="D156" s="137" t="s">
        <v>367</v>
      </c>
      <c r="E156" s="138"/>
      <c r="F156" s="109" t="s">
        <v>368</v>
      </c>
      <c r="G156" s="133">
        <v>204</v>
      </c>
      <c r="H156" s="133">
        <f>107-6</f>
        <v>101</v>
      </c>
      <c r="I156" s="109"/>
      <c r="J156" s="109"/>
      <c r="K156" s="133"/>
      <c r="L156" s="109"/>
      <c r="M156" s="109"/>
      <c r="N156" s="109"/>
      <c r="O156" s="391"/>
      <c r="P156" s="138" t="s">
        <v>5</v>
      </c>
      <c r="Q156" s="139">
        <v>291360</v>
      </c>
      <c r="R156" s="392">
        <v>0.193</v>
      </c>
      <c r="S156" s="393">
        <f t="shared" si="32"/>
        <v>56232.480000000003</v>
      </c>
      <c r="T156" s="387">
        <f t="shared" si="33"/>
        <v>1428.2352941176471</v>
      </c>
      <c r="U156" s="141">
        <f t="shared" si="28"/>
        <v>45516</v>
      </c>
      <c r="V156" s="142"/>
      <c r="W156" s="143"/>
      <c r="X156" s="476"/>
      <c r="Y156" s="135" t="str">
        <f t="shared" si="34"/>
        <v/>
      </c>
      <c r="Z156" s="426" t="str">
        <f t="shared" si="35"/>
        <v/>
      </c>
      <c r="AA156" s="136" t="str">
        <f t="shared" si="36"/>
        <v/>
      </c>
      <c r="AB156" s="185"/>
      <c r="AC156" s="185"/>
      <c r="AD156" s="185"/>
      <c r="AE156" s="185"/>
      <c r="AF156" s="185"/>
    </row>
    <row r="157" spans="1:32" s="115" customFormat="1" ht="16" customHeight="1">
      <c r="A157" s="273">
        <v>45412</v>
      </c>
      <c r="B157" s="109" t="s">
        <v>38</v>
      </c>
      <c r="C157" s="137" t="s">
        <v>54</v>
      </c>
      <c r="D157" s="137" t="s">
        <v>369</v>
      </c>
      <c r="E157" s="138"/>
      <c r="F157" s="109" t="s">
        <v>370</v>
      </c>
      <c r="G157" s="133">
        <v>6346</v>
      </c>
      <c r="H157" s="133">
        <f>1504-122</f>
        <v>1382</v>
      </c>
      <c r="I157" s="109"/>
      <c r="J157" s="109"/>
      <c r="K157" s="133"/>
      <c r="L157" s="109"/>
      <c r="M157" s="109"/>
      <c r="N157" s="109"/>
      <c r="O157" s="391"/>
      <c r="P157" s="138" t="s">
        <v>5</v>
      </c>
      <c r="Q157" s="139">
        <v>3398660</v>
      </c>
      <c r="R157" s="392">
        <v>0.13930000000000001</v>
      </c>
      <c r="S157" s="393">
        <f t="shared" si="32"/>
        <v>473433.33800000005</v>
      </c>
      <c r="T157" s="387">
        <f t="shared" si="33"/>
        <v>535.55940750078787</v>
      </c>
      <c r="U157" s="141">
        <f t="shared" si="28"/>
        <v>45472</v>
      </c>
      <c r="V157" s="142"/>
      <c r="W157" s="143"/>
      <c r="X157" s="476"/>
      <c r="Y157" s="135" t="str">
        <f t="shared" si="34"/>
        <v/>
      </c>
      <c r="Z157" s="426" t="str">
        <f t="shared" si="35"/>
        <v/>
      </c>
      <c r="AA157" s="136" t="str">
        <f t="shared" si="36"/>
        <v/>
      </c>
      <c r="AB157" s="185"/>
      <c r="AC157" s="185"/>
      <c r="AD157" s="185"/>
      <c r="AE157" s="185"/>
      <c r="AF157" s="185"/>
    </row>
    <row r="158" spans="1:32" s="115" customFormat="1" ht="16" customHeight="1">
      <c r="A158" s="273">
        <v>45411</v>
      </c>
      <c r="B158" s="109" t="s">
        <v>38</v>
      </c>
      <c r="C158" s="137" t="s">
        <v>54</v>
      </c>
      <c r="D158" s="137" t="s">
        <v>371</v>
      </c>
      <c r="E158" s="138"/>
      <c r="F158" s="109" t="s">
        <v>109</v>
      </c>
      <c r="G158" s="133">
        <v>486</v>
      </c>
      <c r="H158" s="133">
        <f>143-18</f>
        <v>125</v>
      </c>
      <c r="I158" s="109"/>
      <c r="J158" s="109"/>
      <c r="K158" s="133"/>
      <c r="L158" s="109"/>
      <c r="M158" s="109"/>
      <c r="N158" s="109"/>
      <c r="O158" s="391"/>
      <c r="P158" s="138" t="s">
        <v>5</v>
      </c>
      <c r="Q158" s="139">
        <v>398420</v>
      </c>
      <c r="R158" s="392">
        <v>0.1764</v>
      </c>
      <c r="S158" s="393">
        <f t="shared" si="32"/>
        <v>70281.288</v>
      </c>
      <c r="T158" s="387">
        <f t="shared" si="33"/>
        <v>819.79423868312756</v>
      </c>
      <c r="U158" s="141">
        <f t="shared" si="28"/>
        <v>45471</v>
      </c>
      <c r="V158" s="142"/>
      <c r="W158" s="143"/>
      <c r="X158" s="476"/>
      <c r="Y158" s="135" t="str">
        <f t="shared" si="34"/>
        <v/>
      </c>
      <c r="Z158" s="426" t="str">
        <f t="shared" si="35"/>
        <v/>
      </c>
      <c r="AA158" s="136" t="str">
        <f t="shared" si="36"/>
        <v/>
      </c>
      <c r="AB158" s="185"/>
      <c r="AC158" s="185"/>
      <c r="AD158" s="185"/>
      <c r="AE158" s="185"/>
      <c r="AF158" s="185"/>
    </row>
    <row r="159" spans="1:32" s="115" customFormat="1" ht="16" customHeight="1">
      <c r="A159" s="273">
        <v>45420</v>
      </c>
      <c r="B159" s="109" t="s">
        <v>38</v>
      </c>
      <c r="C159" s="137" t="s">
        <v>372</v>
      </c>
      <c r="D159" s="137" t="s">
        <v>373</v>
      </c>
      <c r="E159" s="138"/>
      <c r="F159" s="109" t="s">
        <v>374</v>
      </c>
      <c r="G159" s="133">
        <v>5948</v>
      </c>
      <c r="H159" s="133">
        <f>1479-113</f>
        <v>1366</v>
      </c>
      <c r="I159" s="109"/>
      <c r="J159" s="109"/>
      <c r="K159" s="133"/>
      <c r="L159" s="109"/>
      <c r="M159" s="109"/>
      <c r="N159" s="109"/>
      <c r="O159" s="391"/>
      <c r="P159" s="138" t="s">
        <v>7</v>
      </c>
      <c r="Q159" s="139">
        <v>4000500</v>
      </c>
      <c r="R159" s="392">
        <v>0.12</v>
      </c>
      <c r="S159" s="393">
        <f t="shared" si="32"/>
        <v>480060</v>
      </c>
      <c r="T159" s="387">
        <f t="shared" si="33"/>
        <v>672.57901815736386</v>
      </c>
      <c r="U159" s="141">
        <f t="shared" si="28"/>
        <v>45480</v>
      </c>
      <c r="V159" s="142"/>
      <c r="W159" s="143"/>
      <c r="X159" s="476"/>
      <c r="Y159" s="135" t="str">
        <f t="shared" si="34"/>
        <v>x</v>
      </c>
      <c r="Z159" s="426" t="str">
        <f t="shared" si="35"/>
        <v>x</v>
      </c>
      <c r="AA159" s="136" t="str">
        <f t="shared" si="36"/>
        <v/>
      </c>
      <c r="AB159" s="185"/>
      <c r="AC159" s="185"/>
      <c r="AD159" s="185"/>
      <c r="AE159" s="185"/>
      <c r="AF159" s="185"/>
    </row>
    <row r="160" spans="1:32" s="115" customFormat="1" ht="16" customHeight="1">
      <c r="A160" s="273">
        <v>45553</v>
      </c>
      <c r="B160" s="109" t="s">
        <v>38</v>
      </c>
      <c r="C160" s="137" t="s">
        <v>54</v>
      </c>
      <c r="D160" s="137" t="s">
        <v>375</v>
      </c>
      <c r="E160" s="138"/>
      <c r="F160" s="109" t="s">
        <v>243</v>
      </c>
      <c r="G160" s="133">
        <v>1043</v>
      </c>
      <c r="H160" s="133">
        <f>322-34</f>
        <v>288</v>
      </c>
      <c r="I160" s="109"/>
      <c r="J160" s="109"/>
      <c r="K160" s="133"/>
      <c r="L160" s="109"/>
      <c r="M160" s="109"/>
      <c r="N160" s="109"/>
      <c r="O160" s="391"/>
      <c r="P160" s="138" t="s">
        <v>5</v>
      </c>
      <c r="Q160" s="139">
        <v>799660</v>
      </c>
      <c r="R160" s="392">
        <v>0.13</v>
      </c>
      <c r="S160" s="393">
        <f t="shared" si="32"/>
        <v>103955.8</v>
      </c>
      <c r="T160" s="387">
        <f t="shared" si="33"/>
        <v>766.69223394055609</v>
      </c>
      <c r="U160" s="141">
        <f t="shared" si="28"/>
        <v>45613</v>
      </c>
      <c r="V160" s="142"/>
      <c r="W160" s="143"/>
      <c r="X160" s="476"/>
      <c r="Y160" s="135" t="str">
        <f t="shared" si="34"/>
        <v/>
      </c>
      <c r="Z160" s="426" t="str">
        <f t="shared" si="35"/>
        <v/>
      </c>
      <c r="AA160" s="136" t="str">
        <f t="shared" si="36"/>
        <v/>
      </c>
      <c r="AB160" s="185"/>
      <c r="AC160" s="185"/>
      <c r="AD160" s="185"/>
      <c r="AE160" s="185"/>
      <c r="AF160" s="185"/>
    </row>
    <row r="161" spans="1:32" s="115" customFormat="1" ht="16" customHeight="1">
      <c r="A161" s="273">
        <v>45408</v>
      </c>
      <c r="B161" s="109" t="s">
        <v>38</v>
      </c>
      <c r="C161" s="137" t="s">
        <v>340</v>
      </c>
      <c r="D161" s="137" t="s">
        <v>376</v>
      </c>
      <c r="E161" s="138"/>
      <c r="F161" s="109" t="s">
        <v>154</v>
      </c>
      <c r="G161" s="133">
        <v>1008</v>
      </c>
      <c r="H161" s="133">
        <f>247-26</f>
        <v>221</v>
      </c>
      <c r="I161" s="110">
        <v>45505</v>
      </c>
      <c r="J161" s="109"/>
      <c r="K161" s="133"/>
      <c r="L161" s="109"/>
      <c r="M161" s="109"/>
      <c r="N161" s="109"/>
      <c r="O161" s="391"/>
      <c r="P161" s="138" t="s">
        <v>5</v>
      </c>
      <c r="Q161" s="139">
        <v>699760</v>
      </c>
      <c r="R161" s="392">
        <v>0.1719</v>
      </c>
      <c r="S161" s="393">
        <f t="shared" si="32"/>
        <v>120288.74399999999</v>
      </c>
      <c r="T161" s="387">
        <f t="shared" si="33"/>
        <v>694.20634920634916</v>
      </c>
      <c r="U161" s="141">
        <f t="shared" si="28"/>
        <v>45468</v>
      </c>
      <c r="V161" s="142"/>
      <c r="W161" s="143"/>
      <c r="X161" s="476"/>
      <c r="Y161" s="135" t="str">
        <f t="shared" si="34"/>
        <v/>
      </c>
      <c r="Z161" s="426" t="str">
        <f t="shared" si="35"/>
        <v/>
      </c>
      <c r="AA161" s="136" t="str">
        <f t="shared" si="36"/>
        <v/>
      </c>
      <c r="AB161" s="185"/>
      <c r="AC161" s="185"/>
      <c r="AD161" s="185"/>
      <c r="AE161" s="185"/>
      <c r="AF161" s="185"/>
    </row>
    <row r="162" spans="1:32" s="115" customFormat="1" ht="16" customHeight="1">
      <c r="A162" s="273">
        <v>45414</v>
      </c>
      <c r="B162" s="109" t="s">
        <v>38</v>
      </c>
      <c r="C162" s="137" t="s">
        <v>377</v>
      </c>
      <c r="D162" s="137" t="s">
        <v>378</v>
      </c>
      <c r="E162" s="137"/>
      <c r="F162" s="109" t="s">
        <v>379</v>
      </c>
      <c r="G162" s="133">
        <v>1330</v>
      </c>
      <c r="H162" s="133">
        <f>350</f>
        <v>350</v>
      </c>
      <c r="I162" s="109"/>
      <c r="J162" s="109"/>
      <c r="K162" s="133"/>
      <c r="L162" s="109"/>
      <c r="M162" s="109"/>
      <c r="N162" s="109"/>
      <c r="O162" s="391"/>
      <c r="P162" s="138" t="s">
        <v>43</v>
      </c>
      <c r="Q162" s="139">
        <v>620000</v>
      </c>
      <c r="R162" s="392">
        <v>0.25</v>
      </c>
      <c r="S162" s="393">
        <f t="shared" si="32"/>
        <v>155000</v>
      </c>
      <c r="T162" s="387">
        <f t="shared" si="33"/>
        <v>466.16541353383457</v>
      </c>
      <c r="U162" s="141">
        <f t="shared" si="28"/>
        <v>45474</v>
      </c>
      <c r="V162" s="142"/>
      <c r="W162" s="143"/>
      <c r="X162" s="476"/>
      <c r="Y162" s="135" t="str">
        <f t="shared" si="34"/>
        <v/>
      </c>
      <c r="Z162" s="426" t="str">
        <f t="shared" si="35"/>
        <v/>
      </c>
      <c r="AA162" s="136" t="str">
        <f t="shared" si="36"/>
        <v/>
      </c>
      <c r="AB162" s="185"/>
      <c r="AC162" s="185"/>
      <c r="AD162" s="185"/>
      <c r="AE162" s="185"/>
      <c r="AF162" s="185"/>
    </row>
    <row r="163" spans="1:32" s="115" customFormat="1" ht="16" customHeight="1">
      <c r="A163" s="273">
        <v>45952</v>
      </c>
      <c r="B163" s="138" t="s">
        <v>380</v>
      </c>
      <c r="C163" s="137" t="s">
        <v>381</v>
      </c>
      <c r="D163" s="137" t="s">
        <v>382</v>
      </c>
      <c r="E163" s="492"/>
      <c r="F163" s="109" t="s">
        <v>379</v>
      </c>
      <c r="G163" s="133">
        <v>1224</v>
      </c>
      <c r="H163" s="133">
        <v>176</v>
      </c>
      <c r="I163" s="109"/>
      <c r="J163" s="109"/>
      <c r="K163" s="133"/>
      <c r="L163" s="109"/>
      <c r="M163" s="109"/>
      <c r="N163" s="109"/>
      <c r="O163" s="391"/>
      <c r="P163" s="138" t="s">
        <v>5</v>
      </c>
      <c r="Q163" s="139">
        <v>538800</v>
      </c>
      <c r="R163" s="392">
        <v>0.18</v>
      </c>
      <c r="S163" s="393">
        <f t="shared" si="32"/>
        <v>96984</v>
      </c>
      <c r="T163" s="387">
        <f t="shared" si="33"/>
        <v>440.19607843137254</v>
      </c>
      <c r="U163" s="141">
        <f t="shared" si="28"/>
        <v>46012</v>
      </c>
      <c r="V163" s="142"/>
      <c r="W163" s="143"/>
      <c r="X163" s="568"/>
      <c r="Y163" s="569"/>
      <c r="Z163" s="570"/>
      <c r="AA163" s="571"/>
      <c r="AB163" s="185"/>
      <c r="AC163" s="185"/>
      <c r="AD163" s="185"/>
      <c r="AE163" s="185"/>
      <c r="AF163" s="185"/>
    </row>
    <row r="164" spans="1:32" s="115" customFormat="1" ht="16" customHeight="1">
      <c r="A164" s="273">
        <v>45414</v>
      </c>
      <c r="B164" s="109" t="s">
        <v>38</v>
      </c>
      <c r="C164" s="137" t="s">
        <v>383</v>
      </c>
      <c r="D164" s="137" t="s">
        <v>384</v>
      </c>
      <c r="E164" s="138"/>
      <c r="F164" s="109" t="s">
        <v>331</v>
      </c>
      <c r="G164" s="133">
        <v>685</v>
      </c>
      <c r="H164" s="133">
        <v>357</v>
      </c>
      <c r="I164" s="109"/>
      <c r="J164" s="109"/>
      <c r="K164" s="133"/>
      <c r="L164" s="109"/>
      <c r="M164" s="109"/>
      <c r="N164" s="109"/>
      <c r="O164" s="391"/>
      <c r="P164" s="138" t="s">
        <v>5</v>
      </c>
      <c r="Q164" s="139">
        <v>562710</v>
      </c>
      <c r="R164" s="392">
        <v>0.2</v>
      </c>
      <c r="S164" s="393">
        <f t="shared" si="32"/>
        <v>112542</v>
      </c>
      <c r="T164" s="387">
        <f t="shared" si="33"/>
        <v>821.47445255474452</v>
      </c>
      <c r="U164" s="141">
        <f t="shared" si="28"/>
        <v>45474</v>
      </c>
      <c r="V164" s="142"/>
      <c r="W164" s="143"/>
      <c r="X164" s="476"/>
      <c r="Y164" s="135" t="str">
        <f t="shared" ref="Y164:Y195" si="37">IF(OR(P164="Ordre",P164="Ferdig"),"x","")</f>
        <v/>
      </c>
      <c r="Z164" s="426" t="str">
        <f t="shared" ref="Z164:Z195" si="38">IF(P164="Ferdig","x","")</f>
        <v/>
      </c>
      <c r="AA164" s="136" t="str">
        <f t="shared" ref="AA164:AA195" si="39">IF(P164="Tapt","x","")</f>
        <v/>
      </c>
      <c r="AB164" s="185"/>
      <c r="AC164" s="185"/>
      <c r="AD164" s="185"/>
      <c r="AE164" s="185"/>
      <c r="AF164" s="185"/>
    </row>
    <row r="165" spans="1:32" s="115" customFormat="1" ht="16" customHeight="1">
      <c r="A165" s="273">
        <v>45418</v>
      </c>
      <c r="B165" s="109" t="s">
        <v>38</v>
      </c>
      <c r="C165" s="137" t="s">
        <v>54</v>
      </c>
      <c r="D165" s="137" t="s">
        <v>385</v>
      </c>
      <c r="E165" s="138"/>
      <c r="F165" s="109" t="s">
        <v>386</v>
      </c>
      <c r="G165" s="133">
        <v>974</v>
      </c>
      <c r="H165" s="133">
        <f>318-23</f>
        <v>295</v>
      </c>
      <c r="I165" s="109"/>
      <c r="J165" s="109"/>
      <c r="K165" s="133"/>
      <c r="L165" s="109"/>
      <c r="M165" s="109"/>
      <c r="N165" s="109"/>
      <c r="O165" s="391"/>
      <c r="P165" s="138" t="s">
        <v>5</v>
      </c>
      <c r="Q165" s="139">
        <v>879970</v>
      </c>
      <c r="R165" s="392">
        <v>0.16</v>
      </c>
      <c r="S165" s="393">
        <f t="shared" si="32"/>
        <v>140795.20000000001</v>
      </c>
      <c r="T165" s="387">
        <f t="shared" si="33"/>
        <v>903.45995893223824</v>
      </c>
      <c r="U165" s="141">
        <f t="shared" si="28"/>
        <v>45478</v>
      </c>
      <c r="V165" s="142"/>
      <c r="W165" s="143"/>
      <c r="X165" s="476"/>
      <c r="Y165" s="135" t="str">
        <f t="shared" si="37"/>
        <v/>
      </c>
      <c r="Z165" s="426" t="str">
        <f t="shared" si="38"/>
        <v/>
      </c>
      <c r="AA165" s="136" t="str">
        <f t="shared" si="39"/>
        <v/>
      </c>
      <c r="AB165" s="185"/>
      <c r="AC165" s="185"/>
      <c r="AD165" s="185"/>
      <c r="AE165" s="185"/>
      <c r="AF165" s="185"/>
    </row>
    <row r="166" spans="1:32" s="115" customFormat="1" ht="16" customHeight="1">
      <c r="A166" s="273">
        <v>45419</v>
      </c>
      <c r="B166" s="109" t="s">
        <v>38</v>
      </c>
      <c r="C166" s="137" t="s">
        <v>54</v>
      </c>
      <c r="D166" s="137" t="s">
        <v>387</v>
      </c>
      <c r="E166" s="138"/>
      <c r="F166" s="109" t="s">
        <v>388</v>
      </c>
      <c r="G166" s="133">
        <v>5857</v>
      </c>
      <c r="H166" s="133">
        <f>1396-75</f>
        <v>1321</v>
      </c>
      <c r="I166" s="109"/>
      <c r="J166" s="109"/>
      <c r="K166" s="133"/>
      <c r="L166" s="109"/>
      <c r="M166" s="109"/>
      <c r="N166" s="109"/>
      <c r="O166" s="391"/>
      <c r="P166" s="138" t="s">
        <v>5</v>
      </c>
      <c r="Q166" s="139">
        <v>3628170</v>
      </c>
      <c r="R166" s="392">
        <v>0.13270000000000001</v>
      </c>
      <c r="S166" s="393">
        <f t="shared" si="32"/>
        <v>481458.15900000004</v>
      </c>
      <c r="T166" s="387">
        <f t="shared" si="33"/>
        <v>619.45876728700705</v>
      </c>
      <c r="U166" s="141">
        <f t="shared" si="28"/>
        <v>45479</v>
      </c>
      <c r="V166" s="142"/>
      <c r="W166" s="143"/>
      <c r="X166" s="476"/>
      <c r="Y166" s="135" t="str">
        <f t="shared" si="37"/>
        <v/>
      </c>
      <c r="Z166" s="426" t="str">
        <f t="shared" si="38"/>
        <v/>
      </c>
      <c r="AA166" s="136" t="str">
        <f t="shared" si="39"/>
        <v/>
      </c>
      <c r="AB166" s="185"/>
      <c r="AC166" s="185"/>
      <c r="AD166" s="185"/>
      <c r="AE166" s="185"/>
      <c r="AF166" s="185"/>
    </row>
    <row r="167" spans="1:32" s="115" customFormat="1" ht="16" customHeight="1">
      <c r="A167" s="273">
        <v>45644</v>
      </c>
      <c r="B167" s="109" t="s">
        <v>38</v>
      </c>
      <c r="C167" s="137" t="s">
        <v>164</v>
      </c>
      <c r="D167" s="137" t="s">
        <v>389</v>
      </c>
      <c r="E167" s="138"/>
      <c r="F167" s="109" t="s">
        <v>65</v>
      </c>
      <c r="G167" s="133">
        <v>8837</v>
      </c>
      <c r="H167" s="133">
        <f>1476-40</f>
        <v>1436</v>
      </c>
      <c r="I167" s="109"/>
      <c r="J167" s="109"/>
      <c r="K167" s="133"/>
      <c r="L167" s="109"/>
      <c r="M167" s="109"/>
      <c r="N167" s="109"/>
      <c r="O167" s="391"/>
      <c r="P167" s="138" t="s">
        <v>7</v>
      </c>
      <c r="Q167" s="139">
        <v>4400000</v>
      </c>
      <c r="R167" s="392">
        <v>6.6000000000000003E-2</v>
      </c>
      <c r="S167" s="393">
        <f t="shared" si="32"/>
        <v>290400</v>
      </c>
      <c r="T167" s="387">
        <f t="shared" si="33"/>
        <v>497.90652936516915</v>
      </c>
      <c r="U167" s="141">
        <f t="shared" si="28"/>
        <v>45704</v>
      </c>
      <c r="V167" s="142"/>
      <c r="W167" s="143" t="s">
        <v>390</v>
      </c>
      <c r="X167" s="476"/>
      <c r="Y167" s="135" t="str">
        <f t="shared" si="37"/>
        <v>x</v>
      </c>
      <c r="Z167" s="426" t="str">
        <f t="shared" si="38"/>
        <v>x</v>
      </c>
      <c r="AA167" s="136" t="str">
        <f t="shared" si="39"/>
        <v/>
      </c>
      <c r="AB167" s="185"/>
      <c r="AC167" s="185"/>
      <c r="AD167" s="185"/>
      <c r="AE167" s="185"/>
      <c r="AF167" s="185"/>
    </row>
    <row r="168" spans="1:32" s="115" customFormat="1" ht="16" customHeight="1">
      <c r="A168" s="273"/>
      <c r="B168" s="109" t="s">
        <v>38</v>
      </c>
      <c r="C168" s="137"/>
      <c r="D168" s="137" t="s">
        <v>391</v>
      </c>
      <c r="E168" s="138"/>
      <c r="F168" s="109" t="s">
        <v>213</v>
      </c>
      <c r="G168" s="133">
        <v>1</v>
      </c>
      <c r="H168" s="133"/>
      <c r="I168" s="109"/>
      <c r="J168" s="109"/>
      <c r="K168" s="133"/>
      <c r="L168" s="109"/>
      <c r="M168" s="109"/>
      <c r="N168" s="109"/>
      <c r="O168" s="391"/>
      <c r="P168" s="138" t="s">
        <v>2</v>
      </c>
      <c r="Q168" s="139"/>
      <c r="R168" s="392"/>
      <c r="S168" s="393">
        <f t="shared" si="32"/>
        <v>0</v>
      </c>
      <c r="T168" s="387">
        <f t="shared" si="33"/>
        <v>0</v>
      </c>
      <c r="U168" s="141" t="str">
        <f t="shared" si="28"/>
        <v/>
      </c>
      <c r="V168" s="142"/>
      <c r="W168" s="512" t="s">
        <v>392</v>
      </c>
      <c r="X168" s="476"/>
      <c r="Y168" s="135" t="str">
        <f t="shared" si="37"/>
        <v/>
      </c>
      <c r="Z168" s="426" t="str">
        <f t="shared" si="38"/>
        <v/>
      </c>
      <c r="AA168" s="136" t="str">
        <f t="shared" si="39"/>
        <v>x</v>
      </c>
      <c r="AB168" s="185"/>
      <c r="AC168" s="185"/>
      <c r="AD168" s="185"/>
      <c r="AE168" s="185"/>
      <c r="AF168" s="185"/>
    </row>
    <row r="169" spans="1:32" s="115" customFormat="1" ht="16" customHeight="1">
      <c r="A169" s="273">
        <v>45426</v>
      </c>
      <c r="B169" s="109" t="s">
        <v>38</v>
      </c>
      <c r="C169" s="137" t="s">
        <v>393</v>
      </c>
      <c r="D169" s="137" t="s">
        <v>394</v>
      </c>
      <c r="E169" s="138"/>
      <c r="F169" s="109" t="s">
        <v>83</v>
      </c>
      <c r="G169" s="133">
        <v>1043</v>
      </c>
      <c r="H169" s="133">
        <f>434-45</f>
        <v>389</v>
      </c>
      <c r="I169" s="109"/>
      <c r="J169" s="109"/>
      <c r="K169" s="133"/>
      <c r="L169" s="109"/>
      <c r="M169" s="109"/>
      <c r="N169" s="109"/>
      <c r="O169" s="391"/>
      <c r="P169" s="138" t="s">
        <v>2</v>
      </c>
      <c r="Q169" s="139">
        <v>1188850</v>
      </c>
      <c r="R169" s="392">
        <v>0.16</v>
      </c>
      <c r="S169" s="393">
        <f t="shared" si="32"/>
        <v>190216</v>
      </c>
      <c r="T169" s="387">
        <f t="shared" si="33"/>
        <v>1139.8370086289549</v>
      </c>
      <c r="U169" s="141">
        <f t="shared" si="28"/>
        <v>45486</v>
      </c>
      <c r="V169" s="142"/>
      <c r="W169" s="143"/>
      <c r="X169" s="476"/>
      <c r="Y169" s="135" t="str">
        <f t="shared" si="37"/>
        <v/>
      </c>
      <c r="Z169" s="426" t="str">
        <f t="shared" si="38"/>
        <v/>
      </c>
      <c r="AA169" s="136" t="str">
        <f t="shared" si="39"/>
        <v>x</v>
      </c>
      <c r="AB169" s="185"/>
      <c r="AC169" s="185"/>
      <c r="AD169" s="185"/>
      <c r="AE169" s="185"/>
      <c r="AF169" s="185"/>
    </row>
    <row r="170" spans="1:32" s="115" customFormat="1" ht="16" customHeight="1">
      <c r="A170" s="273">
        <v>45420</v>
      </c>
      <c r="B170" s="109" t="s">
        <v>38</v>
      </c>
      <c r="C170" s="137" t="s">
        <v>54</v>
      </c>
      <c r="D170" s="137" t="s">
        <v>395</v>
      </c>
      <c r="E170" s="138"/>
      <c r="F170" s="109" t="s">
        <v>396</v>
      </c>
      <c r="G170" s="133">
        <v>20758</v>
      </c>
      <c r="H170" s="133">
        <f>4029-142</f>
        <v>3887</v>
      </c>
      <c r="I170" s="109"/>
      <c r="J170" s="109"/>
      <c r="K170" s="133"/>
      <c r="L170" s="109"/>
      <c r="M170" s="109"/>
      <c r="N170" s="109"/>
      <c r="O170" s="391"/>
      <c r="P170" s="138" t="s">
        <v>2</v>
      </c>
      <c r="Q170" s="139">
        <v>14988490</v>
      </c>
      <c r="R170" s="392">
        <v>0.14000000000000001</v>
      </c>
      <c r="S170" s="393">
        <f t="shared" si="32"/>
        <v>2098388.6</v>
      </c>
      <c r="T170" s="387">
        <f t="shared" si="33"/>
        <v>722.0584834762501</v>
      </c>
      <c r="U170" s="141">
        <f t="shared" si="28"/>
        <v>45480</v>
      </c>
      <c r="V170" s="142"/>
      <c r="W170" s="143"/>
      <c r="X170" s="476"/>
      <c r="Y170" s="135" t="str">
        <f t="shared" si="37"/>
        <v/>
      </c>
      <c r="Z170" s="426" t="str">
        <f t="shared" si="38"/>
        <v/>
      </c>
      <c r="AA170" s="136" t="str">
        <f t="shared" si="39"/>
        <v>x</v>
      </c>
      <c r="AB170" s="185"/>
      <c r="AC170" s="185"/>
      <c r="AD170" s="185"/>
      <c r="AE170" s="185"/>
      <c r="AF170" s="185"/>
    </row>
    <row r="171" spans="1:32" s="115" customFormat="1" ht="16" customHeight="1">
      <c r="A171" s="273">
        <v>45420</v>
      </c>
      <c r="B171" s="109" t="s">
        <v>38</v>
      </c>
      <c r="C171" s="137" t="s">
        <v>294</v>
      </c>
      <c r="D171" s="137" t="s">
        <v>397</v>
      </c>
      <c r="E171" s="138"/>
      <c r="F171" s="109" t="s">
        <v>298</v>
      </c>
      <c r="G171" s="133">
        <v>2030</v>
      </c>
      <c r="H171" s="133">
        <f>544-40</f>
        <v>504</v>
      </c>
      <c r="I171" s="109"/>
      <c r="J171" s="109"/>
      <c r="K171" s="133"/>
      <c r="L171" s="109"/>
      <c r="M171" s="109"/>
      <c r="N171" s="109"/>
      <c r="O171" s="391"/>
      <c r="P171" s="138" t="s">
        <v>5</v>
      </c>
      <c r="Q171" s="139">
        <v>1443160</v>
      </c>
      <c r="R171" s="392">
        <v>0.14000000000000001</v>
      </c>
      <c r="S171" s="393">
        <f t="shared" si="32"/>
        <v>202042.40000000002</v>
      </c>
      <c r="T171" s="387">
        <f t="shared" si="33"/>
        <v>710.91625615763542</v>
      </c>
      <c r="U171" s="141">
        <f t="shared" si="28"/>
        <v>45480</v>
      </c>
      <c r="V171" s="142"/>
      <c r="W171" s="143"/>
      <c r="X171" s="476"/>
      <c r="Y171" s="135" t="str">
        <f t="shared" si="37"/>
        <v/>
      </c>
      <c r="Z171" s="426" t="str">
        <f t="shared" si="38"/>
        <v/>
      </c>
      <c r="AA171" s="136" t="str">
        <f t="shared" si="39"/>
        <v/>
      </c>
      <c r="AB171" s="185"/>
      <c r="AC171" s="185"/>
      <c r="AD171" s="185"/>
      <c r="AE171" s="185"/>
      <c r="AF171" s="185"/>
    </row>
    <row r="172" spans="1:32" s="115" customFormat="1" ht="16" customHeight="1">
      <c r="A172" s="273">
        <v>45421</v>
      </c>
      <c r="B172" s="109" t="s">
        <v>38</v>
      </c>
      <c r="C172" s="137" t="s">
        <v>398</v>
      </c>
      <c r="D172" s="137" t="s">
        <v>399</v>
      </c>
      <c r="E172" s="138"/>
      <c r="F172" s="109" t="s">
        <v>291</v>
      </c>
      <c r="G172" s="133">
        <v>4330</v>
      </c>
      <c r="H172" s="133">
        <f>1113-66</f>
        <v>1047</v>
      </c>
      <c r="I172" s="109"/>
      <c r="J172" s="109"/>
      <c r="K172" s="133"/>
      <c r="L172" s="109"/>
      <c r="M172" s="109"/>
      <c r="N172" s="109"/>
      <c r="O172" s="391"/>
      <c r="P172" s="138" t="s">
        <v>5</v>
      </c>
      <c r="Q172" s="139">
        <v>2894660</v>
      </c>
      <c r="R172" s="392">
        <v>0.1263</v>
      </c>
      <c r="S172" s="393">
        <f t="shared" ref="S172:S203" si="40">Q172*R172</f>
        <v>365595.55799999996</v>
      </c>
      <c r="T172" s="387">
        <f t="shared" ref="T172:T203" si="41">Q172/G172</f>
        <v>668.5127020785219</v>
      </c>
      <c r="U172" s="141">
        <f t="shared" ref="U172:U235" si="42">IF(A172="","",(A172+60))</f>
        <v>45481</v>
      </c>
      <c r="V172" s="142"/>
      <c r="W172" s="143" t="s">
        <v>400</v>
      </c>
      <c r="X172" s="476"/>
      <c r="Y172" s="135" t="str">
        <f t="shared" si="37"/>
        <v/>
      </c>
      <c r="Z172" s="426" t="str">
        <f t="shared" si="38"/>
        <v/>
      </c>
      <c r="AA172" s="136" t="str">
        <f t="shared" si="39"/>
        <v/>
      </c>
      <c r="AB172" s="185"/>
      <c r="AC172" s="185"/>
      <c r="AD172" s="185"/>
      <c r="AE172" s="185"/>
      <c r="AF172" s="185"/>
    </row>
    <row r="173" spans="1:32" s="115" customFormat="1" ht="16" customHeight="1">
      <c r="A173" s="273">
        <v>45447</v>
      </c>
      <c r="B173" s="109" t="s">
        <v>38</v>
      </c>
      <c r="C173" s="137" t="s">
        <v>54</v>
      </c>
      <c r="D173" s="137" t="s">
        <v>401</v>
      </c>
      <c r="E173" s="138"/>
      <c r="F173" s="109" t="s">
        <v>120</v>
      </c>
      <c r="G173" s="133">
        <v>1907</v>
      </c>
      <c r="H173" s="133">
        <f>531-66</f>
        <v>465</v>
      </c>
      <c r="I173" s="109"/>
      <c r="J173" s="109"/>
      <c r="K173" s="133"/>
      <c r="L173" s="109"/>
      <c r="M173" s="109"/>
      <c r="N173" s="109"/>
      <c r="O173" s="391"/>
      <c r="P173" s="138" t="s">
        <v>5</v>
      </c>
      <c r="Q173" s="139">
        <v>1460120</v>
      </c>
      <c r="R173" s="392">
        <v>0.1628</v>
      </c>
      <c r="S173" s="393">
        <f t="shared" si="40"/>
        <v>237707.53599999999</v>
      </c>
      <c r="T173" s="387">
        <f t="shared" si="41"/>
        <v>765.66334556895652</v>
      </c>
      <c r="U173" s="141">
        <f t="shared" si="42"/>
        <v>45507</v>
      </c>
      <c r="V173" s="142"/>
      <c r="W173" s="143"/>
      <c r="X173" s="476"/>
      <c r="Y173" s="135" t="str">
        <f t="shared" si="37"/>
        <v/>
      </c>
      <c r="Z173" s="426" t="str">
        <f t="shared" si="38"/>
        <v/>
      </c>
      <c r="AA173" s="136" t="str">
        <f t="shared" si="39"/>
        <v/>
      </c>
      <c r="AB173" s="185"/>
      <c r="AC173" s="185"/>
      <c r="AD173" s="185"/>
      <c r="AE173" s="185"/>
      <c r="AF173" s="185"/>
    </row>
    <row r="174" spans="1:32" s="115" customFormat="1" ht="16" customHeight="1">
      <c r="A174" s="273">
        <v>45439</v>
      </c>
      <c r="B174" s="109" t="s">
        <v>38</v>
      </c>
      <c r="C174" s="137" t="s">
        <v>54</v>
      </c>
      <c r="D174" s="137" t="s">
        <v>402</v>
      </c>
      <c r="E174" s="137"/>
      <c r="F174" s="109" t="s">
        <v>403</v>
      </c>
      <c r="G174" s="133">
        <v>4311</v>
      </c>
      <c r="H174" s="133">
        <f>1068-95</f>
        <v>973</v>
      </c>
      <c r="I174" s="109"/>
      <c r="J174" s="109"/>
      <c r="K174" s="133"/>
      <c r="L174" s="109"/>
      <c r="M174" s="109"/>
      <c r="N174" s="109"/>
      <c r="O174" s="391"/>
      <c r="P174" s="138" t="s">
        <v>43</v>
      </c>
      <c r="Q174" s="139">
        <v>3300000</v>
      </c>
      <c r="R174" s="392">
        <v>0.18</v>
      </c>
      <c r="S174" s="393">
        <f t="shared" si="40"/>
        <v>594000</v>
      </c>
      <c r="T174" s="387">
        <f t="shared" si="41"/>
        <v>765.4836464857342</v>
      </c>
      <c r="U174" s="141">
        <f t="shared" si="42"/>
        <v>45499</v>
      </c>
      <c r="V174" s="142"/>
      <c r="W174" s="143"/>
      <c r="X174" s="476"/>
      <c r="Y174" s="135" t="str">
        <f t="shared" si="37"/>
        <v/>
      </c>
      <c r="Z174" s="426" t="str">
        <f t="shared" si="38"/>
        <v/>
      </c>
      <c r="AA174" s="136" t="str">
        <f t="shared" si="39"/>
        <v/>
      </c>
      <c r="AB174" s="185"/>
      <c r="AC174" s="185"/>
      <c r="AD174" s="185"/>
      <c r="AE174" s="185"/>
      <c r="AF174" s="185"/>
    </row>
    <row r="175" spans="1:32" s="115" customFormat="1" ht="16" customHeight="1">
      <c r="A175" s="273">
        <v>45426</v>
      </c>
      <c r="B175" s="109" t="s">
        <v>38</v>
      </c>
      <c r="C175" s="137" t="s">
        <v>54</v>
      </c>
      <c r="D175" s="137" t="s">
        <v>404</v>
      </c>
      <c r="E175" s="138"/>
      <c r="F175" s="109" t="s">
        <v>83</v>
      </c>
      <c r="G175" s="133">
        <v>240</v>
      </c>
      <c r="H175" s="133">
        <f>82-13</f>
        <v>69</v>
      </c>
      <c r="I175" s="109"/>
      <c r="J175" s="109"/>
      <c r="K175" s="133"/>
      <c r="L175" s="109"/>
      <c r="M175" s="109"/>
      <c r="N175" s="109"/>
      <c r="O175" s="391"/>
      <c r="P175" s="138" t="s">
        <v>5</v>
      </c>
      <c r="Q175" s="139">
        <v>266220</v>
      </c>
      <c r="R175" s="392">
        <v>0.18</v>
      </c>
      <c r="S175" s="393">
        <f t="shared" si="40"/>
        <v>47919.6</v>
      </c>
      <c r="T175" s="387">
        <f t="shared" si="41"/>
        <v>1109.25</v>
      </c>
      <c r="U175" s="141">
        <f t="shared" si="42"/>
        <v>45486</v>
      </c>
      <c r="V175" s="142"/>
      <c r="W175" s="143"/>
      <c r="X175" s="476"/>
      <c r="Y175" s="135" t="str">
        <f t="shared" si="37"/>
        <v/>
      </c>
      <c r="Z175" s="426" t="str">
        <f t="shared" si="38"/>
        <v/>
      </c>
      <c r="AA175" s="136" t="str">
        <f t="shared" si="39"/>
        <v/>
      </c>
      <c r="AB175" s="185"/>
      <c r="AC175" s="185"/>
      <c r="AD175" s="185"/>
      <c r="AE175" s="185"/>
      <c r="AF175" s="185"/>
    </row>
    <row r="176" spans="1:32" s="115" customFormat="1" ht="16" customHeight="1">
      <c r="A176" s="273">
        <v>45439</v>
      </c>
      <c r="B176" s="109" t="s">
        <v>38</v>
      </c>
      <c r="C176" s="137" t="s">
        <v>54</v>
      </c>
      <c r="D176" s="137" t="s">
        <v>405</v>
      </c>
      <c r="E176" s="138"/>
      <c r="F176" s="109" t="s">
        <v>406</v>
      </c>
      <c r="G176" s="133">
        <v>2060</v>
      </c>
      <c r="H176" s="133">
        <f>497-51</f>
        <v>446</v>
      </c>
      <c r="I176" s="109"/>
      <c r="J176" s="109"/>
      <c r="K176" s="133"/>
      <c r="L176" s="109"/>
      <c r="M176" s="109"/>
      <c r="N176" s="109"/>
      <c r="O176" s="391"/>
      <c r="P176" s="138" t="s">
        <v>7</v>
      </c>
      <c r="Q176" s="139">
        <v>1610600</v>
      </c>
      <c r="R176" s="392">
        <v>0.16</v>
      </c>
      <c r="S176" s="393">
        <f t="shared" si="40"/>
        <v>257696</v>
      </c>
      <c r="T176" s="387">
        <f t="shared" si="41"/>
        <v>781.84466019417471</v>
      </c>
      <c r="U176" s="141">
        <f t="shared" si="42"/>
        <v>45499</v>
      </c>
      <c r="V176" s="142"/>
      <c r="W176" s="143"/>
      <c r="X176" s="476"/>
      <c r="Y176" s="135" t="str">
        <f t="shared" si="37"/>
        <v>x</v>
      </c>
      <c r="Z176" s="426" t="str">
        <f t="shared" si="38"/>
        <v>x</v>
      </c>
      <c r="AA176" s="136" t="str">
        <f t="shared" si="39"/>
        <v/>
      </c>
      <c r="AB176" s="185"/>
      <c r="AC176" s="185"/>
      <c r="AD176" s="185"/>
      <c r="AE176" s="185"/>
      <c r="AF176" s="185"/>
    </row>
    <row r="177" spans="1:32" s="115" customFormat="1" ht="16" customHeight="1">
      <c r="A177" s="273">
        <v>45426</v>
      </c>
      <c r="B177" s="109" t="s">
        <v>38</v>
      </c>
      <c r="C177" s="137" t="s">
        <v>54</v>
      </c>
      <c r="D177" s="137" t="s">
        <v>407</v>
      </c>
      <c r="E177" s="138"/>
      <c r="F177" s="109" t="s">
        <v>408</v>
      </c>
      <c r="G177" s="133">
        <v>981</v>
      </c>
      <c r="H177" s="133">
        <f>285-31</f>
        <v>254</v>
      </c>
      <c r="I177" s="109"/>
      <c r="J177" s="109"/>
      <c r="K177" s="133"/>
      <c r="L177" s="109"/>
      <c r="M177" s="109"/>
      <c r="N177" s="109"/>
      <c r="O177" s="391"/>
      <c r="P177" s="138" t="s">
        <v>5</v>
      </c>
      <c r="Q177" s="139">
        <v>698420</v>
      </c>
      <c r="R177" s="392">
        <v>0.10249999999999999</v>
      </c>
      <c r="S177" s="393">
        <f t="shared" si="40"/>
        <v>71588.05</v>
      </c>
      <c r="T177" s="387">
        <f t="shared" si="41"/>
        <v>711.94699286442403</v>
      </c>
      <c r="U177" s="141">
        <f t="shared" si="42"/>
        <v>45486</v>
      </c>
      <c r="V177" s="142"/>
      <c r="W177" s="143"/>
      <c r="X177" s="476"/>
      <c r="Y177" s="135" t="str">
        <f t="shared" si="37"/>
        <v/>
      </c>
      <c r="Z177" s="426" t="str">
        <f t="shared" si="38"/>
        <v/>
      </c>
      <c r="AA177" s="136" t="str">
        <f t="shared" si="39"/>
        <v/>
      </c>
      <c r="AB177" s="185"/>
      <c r="AC177" s="185"/>
      <c r="AD177" s="185"/>
      <c r="AE177" s="185"/>
      <c r="AF177" s="185"/>
    </row>
    <row r="178" spans="1:32" s="115" customFormat="1" ht="16" customHeight="1">
      <c r="A178" s="273">
        <v>45435</v>
      </c>
      <c r="B178" s="109" t="s">
        <v>38</v>
      </c>
      <c r="C178" s="137" t="s">
        <v>359</v>
      </c>
      <c r="D178" s="137" t="s">
        <v>409</v>
      </c>
      <c r="E178" s="138"/>
      <c r="F178" s="109" t="s">
        <v>331</v>
      </c>
      <c r="G178" s="133">
        <v>3200</v>
      </c>
      <c r="H178" s="133">
        <f>459-30</f>
        <v>429</v>
      </c>
      <c r="I178" s="109"/>
      <c r="J178" s="109"/>
      <c r="K178" s="133"/>
      <c r="L178" s="109"/>
      <c r="M178" s="109"/>
      <c r="N178" s="109"/>
      <c r="O178" s="391"/>
      <c r="P178" s="138" t="s">
        <v>5</v>
      </c>
      <c r="Q178" s="139">
        <v>606290</v>
      </c>
      <c r="R178" s="392">
        <v>0.2</v>
      </c>
      <c r="S178" s="393">
        <f t="shared" si="40"/>
        <v>121258</v>
      </c>
      <c r="T178" s="387">
        <f t="shared" si="41"/>
        <v>189.46562499999999</v>
      </c>
      <c r="U178" s="141">
        <f t="shared" si="42"/>
        <v>45495</v>
      </c>
      <c r="V178" s="142"/>
      <c r="W178" s="143"/>
      <c r="X178" s="476"/>
      <c r="Y178" s="135" t="str">
        <f t="shared" si="37"/>
        <v/>
      </c>
      <c r="Z178" s="426" t="str">
        <f t="shared" si="38"/>
        <v/>
      </c>
      <c r="AA178" s="136" t="str">
        <f t="shared" si="39"/>
        <v/>
      </c>
      <c r="AB178" s="185"/>
      <c r="AC178" s="185"/>
      <c r="AD178" s="185"/>
      <c r="AE178" s="185"/>
      <c r="AF178" s="185"/>
    </row>
    <row r="179" spans="1:32" s="115" customFormat="1" ht="16" customHeight="1">
      <c r="A179" s="273">
        <v>45450</v>
      </c>
      <c r="B179" s="109" t="s">
        <v>38</v>
      </c>
      <c r="C179" s="137" t="s">
        <v>353</v>
      </c>
      <c r="D179" s="137" t="s">
        <v>410</v>
      </c>
      <c r="E179" s="138"/>
      <c r="F179" s="109" t="s">
        <v>243</v>
      </c>
      <c r="G179" s="133">
        <v>1480</v>
      </c>
      <c r="H179" s="133">
        <f>467-31</f>
        <v>436</v>
      </c>
      <c r="I179" s="109"/>
      <c r="J179" s="109"/>
      <c r="K179" s="133"/>
      <c r="L179" s="109"/>
      <c r="M179" s="109"/>
      <c r="N179" s="109"/>
      <c r="O179" s="391"/>
      <c r="P179" s="138" t="s">
        <v>5</v>
      </c>
      <c r="Q179" s="139">
        <v>1439360</v>
      </c>
      <c r="R179" s="392">
        <v>0.16</v>
      </c>
      <c r="S179" s="393">
        <f t="shared" si="40"/>
        <v>230297.60000000001</v>
      </c>
      <c r="T179" s="387">
        <f t="shared" si="41"/>
        <v>972.54054054054052</v>
      </c>
      <c r="U179" s="141">
        <f t="shared" si="42"/>
        <v>45510</v>
      </c>
      <c r="V179" s="142"/>
      <c r="W179" s="143"/>
      <c r="X179" s="476"/>
      <c r="Y179" s="135" t="str">
        <f t="shared" si="37"/>
        <v/>
      </c>
      <c r="Z179" s="426" t="str">
        <f t="shared" si="38"/>
        <v/>
      </c>
      <c r="AA179" s="136" t="str">
        <f t="shared" si="39"/>
        <v/>
      </c>
      <c r="AB179" s="185"/>
      <c r="AC179" s="185"/>
      <c r="AD179" s="185"/>
      <c r="AE179" s="185"/>
      <c r="AF179" s="185"/>
    </row>
    <row r="180" spans="1:32" s="115" customFormat="1" ht="16" customHeight="1">
      <c r="A180" s="273">
        <v>45435</v>
      </c>
      <c r="B180" s="109" t="s">
        <v>38</v>
      </c>
      <c r="C180" s="137" t="s">
        <v>336</v>
      </c>
      <c r="D180" s="137" t="s">
        <v>411</v>
      </c>
      <c r="E180" s="138"/>
      <c r="F180" s="109"/>
      <c r="G180" s="133">
        <v>877</v>
      </c>
      <c r="H180" s="133">
        <v>144</v>
      </c>
      <c r="I180" s="109"/>
      <c r="J180" s="109"/>
      <c r="K180" s="133"/>
      <c r="L180" s="109"/>
      <c r="M180" s="109"/>
      <c r="N180" s="109"/>
      <c r="O180" s="391"/>
      <c r="P180" s="138" t="s">
        <v>5</v>
      </c>
      <c r="Q180" s="139">
        <v>649250</v>
      </c>
      <c r="R180" s="392">
        <v>0.18</v>
      </c>
      <c r="S180" s="393">
        <f t="shared" si="40"/>
        <v>116865</v>
      </c>
      <c r="T180" s="387">
        <f t="shared" si="41"/>
        <v>740.30786773090085</v>
      </c>
      <c r="U180" s="141">
        <f t="shared" si="42"/>
        <v>45495</v>
      </c>
      <c r="V180" s="142"/>
      <c r="W180" s="143"/>
      <c r="X180" s="476"/>
      <c r="Y180" s="135" t="str">
        <f t="shared" si="37"/>
        <v/>
      </c>
      <c r="Z180" s="426" t="str">
        <f t="shared" si="38"/>
        <v/>
      </c>
      <c r="AA180" s="136" t="str">
        <f t="shared" si="39"/>
        <v/>
      </c>
      <c r="AB180" s="185"/>
      <c r="AC180" s="185"/>
      <c r="AD180" s="185"/>
      <c r="AE180" s="185"/>
      <c r="AF180" s="185"/>
    </row>
    <row r="181" spans="1:32" s="115" customFormat="1" ht="16" customHeight="1">
      <c r="A181" s="273">
        <v>45441</v>
      </c>
      <c r="B181" s="109" t="s">
        <v>38</v>
      </c>
      <c r="C181" s="137" t="s">
        <v>412</v>
      </c>
      <c r="D181" s="137" t="s">
        <v>413</v>
      </c>
      <c r="E181" s="138"/>
      <c r="F181" s="109" t="s">
        <v>89</v>
      </c>
      <c r="G181" s="133">
        <v>185</v>
      </c>
      <c r="H181" s="133">
        <v>84</v>
      </c>
      <c r="I181" s="109"/>
      <c r="J181" s="109"/>
      <c r="K181" s="133"/>
      <c r="L181" s="109"/>
      <c r="M181" s="109"/>
      <c r="N181" s="109"/>
      <c r="O181" s="391"/>
      <c r="P181" s="138" t="s">
        <v>5</v>
      </c>
      <c r="Q181" s="139">
        <v>360350</v>
      </c>
      <c r="R181" s="392">
        <v>0.23</v>
      </c>
      <c r="S181" s="393">
        <f t="shared" si="40"/>
        <v>82880.5</v>
      </c>
      <c r="T181" s="387">
        <f t="shared" si="41"/>
        <v>1947.8378378378379</v>
      </c>
      <c r="U181" s="141">
        <f t="shared" si="42"/>
        <v>45501</v>
      </c>
      <c r="V181" s="142"/>
      <c r="W181" s="143"/>
      <c r="X181" s="476"/>
      <c r="Y181" s="135" t="str">
        <f t="shared" si="37"/>
        <v/>
      </c>
      <c r="Z181" s="426" t="str">
        <f t="shared" si="38"/>
        <v/>
      </c>
      <c r="AA181" s="136" t="str">
        <f t="shared" si="39"/>
        <v/>
      </c>
      <c r="AB181" s="185"/>
      <c r="AC181" s="185"/>
      <c r="AD181" s="185"/>
      <c r="AE181" s="185"/>
      <c r="AF181" s="185"/>
    </row>
    <row r="182" spans="1:32" s="115" customFormat="1" ht="16" customHeight="1">
      <c r="A182" s="273">
        <v>45454</v>
      </c>
      <c r="B182" s="109" t="s">
        <v>38</v>
      </c>
      <c r="C182" s="137" t="s">
        <v>412</v>
      </c>
      <c r="D182" s="137" t="s">
        <v>414</v>
      </c>
      <c r="E182" s="138"/>
      <c r="F182" s="109" t="s">
        <v>89</v>
      </c>
      <c r="G182" s="133">
        <v>3895</v>
      </c>
      <c r="H182" s="133">
        <f>1415-90</f>
        <v>1325</v>
      </c>
      <c r="I182" s="109"/>
      <c r="J182" s="109"/>
      <c r="K182" s="133"/>
      <c r="L182" s="109"/>
      <c r="M182" s="109"/>
      <c r="N182" s="109"/>
      <c r="O182" s="391"/>
      <c r="P182" s="138" t="s">
        <v>5</v>
      </c>
      <c r="Q182" s="139">
        <v>4606720</v>
      </c>
      <c r="R182" s="392">
        <v>0.16</v>
      </c>
      <c r="S182" s="393">
        <f t="shared" si="40"/>
        <v>737075.20000000007</v>
      </c>
      <c r="T182" s="387">
        <f t="shared" si="41"/>
        <v>1182.7265725288833</v>
      </c>
      <c r="U182" s="141">
        <f t="shared" si="42"/>
        <v>45514</v>
      </c>
      <c r="V182" s="142"/>
      <c r="W182" s="143"/>
      <c r="X182" s="476"/>
      <c r="Y182" s="135" t="str">
        <f t="shared" si="37"/>
        <v/>
      </c>
      <c r="Z182" s="426" t="str">
        <f t="shared" si="38"/>
        <v/>
      </c>
      <c r="AA182" s="136" t="str">
        <f t="shared" si="39"/>
        <v/>
      </c>
      <c r="AB182" s="185"/>
      <c r="AC182" s="185"/>
      <c r="AD182" s="185"/>
      <c r="AE182" s="185"/>
      <c r="AF182" s="185"/>
    </row>
    <row r="183" spans="1:32" s="115" customFormat="1" ht="16" customHeight="1">
      <c r="A183" s="273">
        <v>45450</v>
      </c>
      <c r="B183" s="109" t="s">
        <v>38</v>
      </c>
      <c r="C183" s="137" t="s">
        <v>415</v>
      </c>
      <c r="D183" s="137" t="s">
        <v>416</v>
      </c>
      <c r="E183" s="138"/>
      <c r="F183" s="109" t="s">
        <v>65</v>
      </c>
      <c r="G183" s="133">
        <v>2160</v>
      </c>
      <c r="H183" s="133">
        <f>432</f>
        <v>432</v>
      </c>
      <c r="I183" s="109"/>
      <c r="J183" s="109"/>
      <c r="K183" s="133"/>
      <c r="L183" s="109"/>
      <c r="M183" s="109"/>
      <c r="N183" s="109"/>
      <c r="O183" s="391"/>
      <c r="P183" s="138" t="s">
        <v>5</v>
      </c>
      <c r="Q183" s="139">
        <v>457280</v>
      </c>
      <c r="R183" s="392">
        <v>0.61299999999999999</v>
      </c>
      <c r="S183" s="393">
        <f t="shared" si="40"/>
        <v>280312.64</v>
      </c>
      <c r="T183" s="387">
        <f t="shared" si="41"/>
        <v>211.7037037037037</v>
      </c>
      <c r="U183" s="141">
        <f t="shared" si="42"/>
        <v>45510</v>
      </c>
      <c r="V183" s="142"/>
      <c r="W183" s="143"/>
      <c r="X183" s="476"/>
      <c r="Y183" s="135" t="str">
        <f t="shared" si="37"/>
        <v/>
      </c>
      <c r="Z183" s="426" t="str">
        <f t="shared" si="38"/>
        <v/>
      </c>
      <c r="AA183" s="136" t="str">
        <f t="shared" si="39"/>
        <v/>
      </c>
      <c r="AB183" s="185"/>
      <c r="AC183" s="185"/>
      <c r="AD183" s="185"/>
      <c r="AE183" s="185"/>
      <c r="AF183" s="185"/>
    </row>
    <row r="184" spans="1:32" s="115" customFormat="1" ht="16" customHeight="1">
      <c r="A184" s="273">
        <v>45454</v>
      </c>
      <c r="B184" s="109" t="s">
        <v>38</v>
      </c>
      <c r="C184" s="137" t="s">
        <v>340</v>
      </c>
      <c r="D184" s="137" t="s">
        <v>417</v>
      </c>
      <c r="E184" s="138"/>
      <c r="F184" s="109" t="s">
        <v>83</v>
      </c>
      <c r="G184" s="133">
        <v>836</v>
      </c>
      <c r="H184" s="133">
        <f>257-25</f>
        <v>232</v>
      </c>
      <c r="I184" s="109"/>
      <c r="J184" s="109"/>
      <c r="K184" s="133"/>
      <c r="L184" s="109"/>
      <c r="M184" s="109"/>
      <c r="N184" s="109"/>
      <c r="O184" s="391"/>
      <c r="P184" s="138" t="s">
        <v>7</v>
      </c>
      <c r="Q184" s="139">
        <v>783800</v>
      </c>
      <c r="R184" s="392">
        <v>0.2</v>
      </c>
      <c r="S184" s="393">
        <f t="shared" si="40"/>
        <v>156760</v>
      </c>
      <c r="T184" s="387">
        <f t="shared" si="41"/>
        <v>937.55980861244018</v>
      </c>
      <c r="U184" s="141">
        <f t="shared" si="42"/>
        <v>45514</v>
      </c>
      <c r="V184" s="142"/>
      <c r="W184" s="143"/>
      <c r="X184" s="476"/>
      <c r="Y184" s="135" t="str">
        <f t="shared" si="37"/>
        <v>x</v>
      </c>
      <c r="Z184" s="426" t="str">
        <f t="shared" si="38"/>
        <v>x</v>
      </c>
      <c r="AA184" s="136" t="str">
        <f t="shared" si="39"/>
        <v/>
      </c>
      <c r="AB184" s="185"/>
      <c r="AC184" s="185"/>
      <c r="AD184" s="185"/>
      <c r="AE184" s="185"/>
      <c r="AF184" s="185"/>
    </row>
    <row r="185" spans="1:32" s="115" customFormat="1" ht="16" customHeight="1">
      <c r="A185" s="273">
        <v>45454</v>
      </c>
      <c r="B185" s="109" t="s">
        <v>38</v>
      </c>
      <c r="C185" s="137" t="s">
        <v>294</v>
      </c>
      <c r="D185" s="137" t="s">
        <v>418</v>
      </c>
      <c r="E185" s="138"/>
      <c r="F185" s="109" t="s">
        <v>83</v>
      </c>
      <c r="G185" s="133">
        <v>1200</v>
      </c>
      <c r="H185" s="133">
        <f>319-36</f>
        <v>283</v>
      </c>
      <c r="I185" s="109"/>
      <c r="J185" s="109"/>
      <c r="K185" s="133"/>
      <c r="L185" s="109"/>
      <c r="M185" s="109"/>
      <c r="N185" s="109"/>
      <c r="O185" s="391"/>
      <c r="P185" s="138" t="s">
        <v>5</v>
      </c>
      <c r="Q185" s="139">
        <v>894210</v>
      </c>
      <c r="R185" s="392">
        <v>0.17560000000000001</v>
      </c>
      <c r="S185" s="393">
        <f t="shared" si="40"/>
        <v>157023.27600000001</v>
      </c>
      <c r="T185" s="387">
        <f t="shared" si="41"/>
        <v>745.17499999999995</v>
      </c>
      <c r="U185" s="141">
        <f t="shared" si="42"/>
        <v>45514</v>
      </c>
      <c r="V185" s="142"/>
      <c r="W185" s="485" t="s">
        <v>419</v>
      </c>
      <c r="X185" s="476"/>
      <c r="Y185" s="135" t="str">
        <f t="shared" si="37"/>
        <v/>
      </c>
      <c r="Z185" s="426" t="str">
        <f t="shared" si="38"/>
        <v/>
      </c>
      <c r="AA185" s="136" t="str">
        <f t="shared" si="39"/>
        <v/>
      </c>
      <c r="AB185" s="185"/>
      <c r="AC185" s="185"/>
      <c r="AD185" s="185"/>
      <c r="AE185" s="185"/>
      <c r="AF185" s="185"/>
    </row>
    <row r="186" spans="1:32" s="115" customFormat="1" ht="16" customHeight="1">
      <c r="A186" s="273">
        <v>45455</v>
      </c>
      <c r="B186" s="109" t="s">
        <v>38</v>
      </c>
      <c r="C186" s="137" t="s">
        <v>186</v>
      </c>
      <c r="D186" s="137" t="s">
        <v>420</v>
      </c>
      <c r="E186" s="138"/>
      <c r="F186" s="109" t="s">
        <v>243</v>
      </c>
      <c r="G186" s="133">
        <v>660</v>
      </c>
      <c r="H186" s="133">
        <f>186-21</f>
        <v>165</v>
      </c>
      <c r="I186" s="109"/>
      <c r="J186" s="109"/>
      <c r="K186" s="133"/>
      <c r="L186" s="109"/>
      <c r="M186" s="109"/>
      <c r="N186" s="109"/>
      <c r="O186" s="391"/>
      <c r="P186" s="138" t="s">
        <v>5</v>
      </c>
      <c r="Q186" s="139">
        <v>526240</v>
      </c>
      <c r="R186" s="392">
        <v>0.2</v>
      </c>
      <c r="S186" s="393">
        <f t="shared" si="40"/>
        <v>105248</v>
      </c>
      <c r="T186" s="387">
        <f t="shared" si="41"/>
        <v>797.33333333333337</v>
      </c>
      <c r="U186" s="141">
        <f t="shared" si="42"/>
        <v>45515</v>
      </c>
      <c r="V186" s="142"/>
      <c r="W186" s="143"/>
      <c r="X186" s="476"/>
      <c r="Y186" s="135" t="str">
        <f t="shared" si="37"/>
        <v/>
      </c>
      <c r="Z186" s="426" t="str">
        <f t="shared" si="38"/>
        <v/>
      </c>
      <c r="AA186" s="136" t="str">
        <f t="shared" si="39"/>
        <v/>
      </c>
      <c r="AB186" s="185"/>
      <c r="AC186" s="185"/>
      <c r="AD186" s="185"/>
      <c r="AE186" s="185"/>
      <c r="AF186" s="185"/>
    </row>
    <row r="187" spans="1:32" s="115" customFormat="1" ht="16" customHeight="1">
      <c r="A187" s="273">
        <v>45456</v>
      </c>
      <c r="B187" s="109" t="s">
        <v>38</v>
      </c>
      <c r="C187" s="137" t="s">
        <v>54</v>
      </c>
      <c r="D187" s="137" t="s">
        <v>421</v>
      </c>
      <c r="E187" s="138"/>
      <c r="F187" s="109" t="s">
        <v>422</v>
      </c>
      <c r="G187" s="133">
        <v>1070</v>
      </c>
      <c r="H187" s="133">
        <f>345-30</f>
        <v>315</v>
      </c>
      <c r="I187" s="109"/>
      <c r="J187" s="109"/>
      <c r="K187" s="133"/>
      <c r="L187" s="109"/>
      <c r="M187" s="109"/>
      <c r="N187" s="109"/>
      <c r="O187" s="391"/>
      <c r="P187" s="138" t="s">
        <v>5</v>
      </c>
      <c r="Q187" s="139">
        <v>948880</v>
      </c>
      <c r="R187" s="392">
        <v>0.18</v>
      </c>
      <c r="S187" s="393">
        <f t="shared" si="40"/>
        <v>170798.4</v>
      </c>
      <c r="T187" s="387">
        <f t="shared" si="41"/>
        <v>886.80373831775705</v>
      </c>
      <c r="U187" s="141">
        <f t="shared" si="42"/>
        <v>45516</v>
      </c>
      <c r="V187" s="142"/>
      <c r="W187" s="143"/>
      <c r="X187" s="476"/>
      <c r="Y187" s="135" t="str">
        <f t="shared" si="37"/>
        <v/>
      </c>
      <c r="Z187" s="426" t="str">
        <f t="shared" si="38"/>
        <v/>
      </c>
      <c r="AA187" s="136" t="str">
        <f t="shared" si="39"/>
        <v/>
      </c>
      <c r="AB187" s="185"/>
      <c r="AC187" s="185"/>
      <c r="AD187" s="185"/>
      <c r="AE187" s="185"/>
      <c r="AF187" s="185"/>
    </row>
    <row r="188" spans="1:32" s="115" customFormat="1" ht="16" customHeight="1">
      <c r="A188" s="273">
        <v>45456</v>
      </c>
      <c r="B188" s="109" t="s">
        <v>38</v>
      </c>
      <c r="C188" s="137" t="s">
        <v>423</v>
      </c>
      <c r="D188" s="137" t="s">
        <v>424</v>
      </c>
      <c r="E188" s="138"/>
      <c r="F188" s="109" t="s">
        <v>335</v>
      </c>
      <c r="G188" s="133">
        <v>1086</v>
      </c>
      <c r="H188" s="133">
        <f>496-49</f>
        <v>447</v>
      </c>
      <c r="I188" s="109"/>
      <c r="J188" s="109"/>
      <c r="K188" s="133"/>
      <c r="L188" s="109"/>
      <c r="M188" s="109"/>
      <c r="N188" s="109"/>
      <c r="O188" s="391"/>
      <c r="P188" s="138" t="s">
        <v>5</v>
      </c>
      <c r="Q188" s="139">
        <v>1301250</v>
      </c>
      <c r="R188" s="392">
        <v>0.16</v>
      </c>
      <c r="S188" s="393">
        <f t="shared" si="40"/>
        <v>208200</v>
      </c>
      <c r="T188" s="387">
        <f t="shared" si="41"/>
        <v>1198.2044198895028</v>
      </c>
      <c r="U188" s="141">
        <f t="shared" si="42"/>
        <v>45516</v>
      </c>
      <c r="V188" s="142"/>
      <c r="W188" s="143"/>
      <c r="X188" s="476"/>
      <c r="Y188" s="135" t="str">
        <f t="shared" si="37"/>
        <v/>
      </c>
      <c r="Z188" s="426" t="str">
        <f t="shared" si="38"/>
        <v/>
      </c>
      <c r="AA188" s="136" t="str">
        <f t="shared" si="39"/>
        <v/>
      </c>
      <c r="AB188" s="185"/>
      <c r="AC188" s="185"/>
      <c r="AD188" s="185"/>
      <c r="AE188" s="185"/>
      <c r="AF188" s="185"/>
    </row>
    <row r="189" spans="1:32" s="115" customFormat="1" ht="16" customHeight="1">
      <c r="A189" s="273">
        <v>45462</v>
      </c>
      <c r="B189" s="109" t="s">
        <v>38</v>
      </c>
      <c r="C189" s="137" t="s">
        <v>294</v>
      </c>
      <c r="D189" s="137" t="s">
        <v>425</v>
      </c>
      <c r="E189" s="138"/>
      <c r="F189" s="109" t="s">
        <v>426</v>
      </c>
      <c r="G189" s="133">
        <v>4634</v>
      </c>
      <c r="H189" s="133">
        <f>921-55</f>
        <v>866</v>
      </c>
      <c r="I189" s="109"/>
      <c r="J189" s="109"/>
      <c r="K189" s="133"/>
      <c r="L189" s="109"/>
      <c r="M189" s="109"/>
      <c r="N189" s="109"/>
      <c r="O189" s="391"/>
      <c r="P189" s="138" t="s">
        <v>5</v>
      </c>
      <c r="Q189" s="139">
        <v>2985680</v>
      </c>
      <c r="R189" s="392">
        <v>0.1661</v>
      </c>
      <c r="S189" s="393">
        <f t="shared" si="40"/>
        <v>495921.44799999997</v>
      </c>
      <c r="T189" s="387">
        <f t="shared" si="41"/>
        <v>644.29866206301256</v>
      </c>
      <c r="U189" s="141">
        <f t="shared" si="42"/>
        <v>45522</v>
      </c>
      <c r="V189" s="142"/>
      <c r="W189" s="143"/>
      <c r="X189" s="476"/>
      <c r="Y189" s="135" t="str">
        <f t="shared" si="37"/>
        <v/>
      </c>
      <c r="Z189" s="426" t="str">
        <f t="shared" si="38"/>
        <v/>
      </c>
      <c r="AA189" s="136" t="str">
        <f t="shared" si="39"/>
        <v/>
      </c>
      <c r="AB189" s="185"/>
      <c r="AC189" s="185"/>
      <c r="AD189" s="185"/>
      <c r="AE189" s="185"/>
      <c r="AF189" s="185"/>
    </row>
    <row r="190" spans="1:32" s="115" customFormat="1" ht="16" customHeight="1">
      <c r="A190" s="273">
        <v>45468</v>
      </c>
      <c r="B190" s="109" t="s">
        <v>38</v>
      </c>
      <c r="C190" s="137" t="s">
        <v>336</v>
      </c>
      <c r="D190" s="137" t="s">
        <v>427</v>
      </c>
      <c r="E190" s="138"/>
      <c r="F190" s="109" t="s">
        <v>428</v>
      </c>
      <c r="G190" s="133">
        <v>1337</v>
      </c>
      <c r="H190" s="133">
        <f>550-61</f>
        <v>489</v>
      </c>
      <c r="I190" s="109"/>
      <c r="J190" s="109"/>
      <c r="K190" s="133"/>
      <c r="L190" s="109"/>
      <c r="M190" s="109"/>
      <c r="N190" s="109"/>
      <c r="O190" s="391"/>
      <c r="P190" s="138" t="s">
        <v>5</v>
      </c>
      <c r="Q190" s="139">
        <v>1410300</v>
      </c>
      <c r="R190" s="392">
        <v>0.18</v>
      </c>
      <c r="S190" s="393">
        <f t="shared" si="40"/>
        <v>253854</v>
      </c>
      <c r="T190" s="387">
        <f t="shared" si="41"/>
        <v>1054.8242333582648</v>
      </c>
      <c r="U190" s="141">
        <f t="shared" si="42"/>
        <v>45528</v>
      </c>
      <c r="V190" s="142"/>
      <c r="W190" s="143"/>
      <c r="X190" s="476"/>
      <c r="Y190" s="135" t="str">
        <f t="shared" si="37"/>
        <v/>
      </c>
      <c r="Z190" s="426" t="str">
        <f t="shared" si="38"/>
        <v/>
      </c>
      <c r="AA190" s="136" t="str">
        <f t="shared" si="39"/>
        <v/>
      </c>
      <c r="AB190" s="185"/>
      <c r="AC190" s="185"/>
      <c r="AD190" s="185"/>
      <c r="AE190" s="185"/>
      <c r="AF190" s="185"/>
    </row>
    <row r="191" spans="1:32" s="115" customFormat="1" ht="16" customHeight="1">
      <c r="A191" s="273">
        <v>45468</v>
      </c>
      <c r="B191" s="109" t="s">
        <v>38</v>
      </c>
      <c r="C191" s="137" t="s">
        <v>54</v>
      </c>
      <c r="D191" s="137" t="s">
        <v>429</v>
      </c>
      <c r="E191" s="138"/>
      <c r="F191" s="109" t="s">
        <v>291</v>
      </c>
      <c r="G191" s="133">
        <v>126</v>
      </c>
      <c r="H191" s="133">
        <f>53-9</f>
        <v>44</v>
      </c>
      <c r="I191" s="109"/>
      <c r="J191" s="109"/>
      <c r="K191" s="133"/>
      <c r="L191" s="109"/>
      <c r="M191" s="109"/>
      <c r="N191" s="109"/>
      <c r="O191" s="391"/>
      <c r="P191" s="138" t="s">
        <v>7</v>
      </c>
      <c r="Q191" s="139">
        <v>139828</v>
      </c>
      <c r="R191" s="392">
        <v>0.18</v>
      </c>
      <c r="S191" s="393">
        <f t="shared" si="40"/>
        <v>25169.040000000001</v>
      </c>
      <c r="T191" s="387">
        <f t="shared" si="41"/>
        <v>1109.7460317460318</v>
      </c>
      <c r="U191" s="141">
        <f t="shared" si="42"/>
        <v>45528</v>
      </c>
      <c r="V191" s="142"/>
      <c r="W191" s="143"/>
      <c r="X191" s="476"/>
      <c r="Y191" s="135" t="str">
        <f t="shared" si="37"/>
        <v>x</v>
      </c>
      <c r="Z191" s="426" t="str">
        <f t="shared" si="38"/>
        <v>x</v>
      </c>
      <c r="AA191" s="136" t="str">
        <f t="shared" si="39"/>
        <v/>
      </c>
      <c r="AB191" s="185"/>
      <c r="AC191" s="185"/>
      <c r="AD191" s="185"/>
      <c r="AE191" s="185"/>
      <c r="AF191" s="185"/>
    </row>
    <row r="192" spans="1:32" s="115" customFormat="1" ht="16" customHeight="1">
      <c r="A192" s="273">
        <v>45462</v>
      </c>
      <c r="B192" s="109" t="s">
        <v>38</v>
      </c>
      <c r="C192" s="137" t="s">
        <v>54</v>
      </c>
      <c r="D192" s="137" t="s">
        <v>430</v>
      </c>
      <c r="E192" s="138"/>
      <c r="F192" s="109" t="s">
        <v>431</v>
      </c>
      <c r="G192" s="133">
        <v>1048</v>
      </c>
      <c r="H192" s="133">
        <f>275-37</f>
        <v>238</v>
      </c>
      <c r="I192" s="109"/>
      <c r="J192" s="109"/>
      <c r="K192" s="133"/>
      <c r="L192" s="109"/>
      <c r="M192" s="109"/>
      <c r="N192" s="109"/>
      <c r="O192" s="391"/>
      <c r="P192" s="138" t="s">
        <v>5</v>
      </c>
      <c r="Q192" s="139">
        <v>804850</v>
      </c>
      <c r="R192" s="392">
        <v>0.18</v>
      </c>
      <c r="S192" s="393">
        <f t="shared" si="40"/>
        <v>144873</v>
      </c>
      <c r="T192" s="387">
        <f t="shared" si="41"/>
        <v>767.98664122137404</v>
      </c>
      <c r="U192" s="141">
        <f t="shared" si="42"/>
        <v>45522</v>
      </c>
      <c r="V192" s="142"/>
      <c r="W192" s="143"/>
      <c r="X192" s="476"/>
      <c r="Y192" s="135" t="str">
        <f t="shared" si="37"/>
        <v/>
      </c>
      <c r="Z192" s="426" t="str">
        <f t="shared" si="38"/>
        <v/>
      </c>
      <c r="AA192" s="136" t="str">
        <f t="shared" si="39"/>
        <v/>
      </c>
      <c r="AB192" s="185"/>
      <c r="AC192" s="185"/>
      <c r="AD192" s="185"/>
      <c r="AE192" s="185"/>
      <c r="AF192" s="185"/>
    </row>
    <row r="193" spans="1:32" s="115" customFormat="1" ht="16" customHeight="1">
      <c r="A193" s="273">
        <v>45468</v>
      </c>
      <c r="B193" s="109" t="s">
        <v>38</v>
      </c>
      <c r="C193" s="137" t="s">
        <v>54</v>
      </c>
      <c r="D193" s="137" t="s">
        <v>432</v>
      </c>
      <c r="E193" s="138"/>
      <c r="F193" s="109" t="s">
        <v>422</v>
      </c>
      <c r="G193" s="133">
        <v>7777</v>
      </c>
      <c r="H193" s="133">
        <f>1804-143</f>
        <v>1661</v>
      </c>
      <c r="I193" s="109"/>
      <c r="J193" s="109"/>
      <c r="K193" s="133"/>
      <c r="L193" s="109"/>
      <c r="M193" s="109"/>
      <c r="N193" s="109"/>
      <c r="O193" s="391"/>
      <c r="P193" s="138" t="s">
        <v>5</v>
      </c>
      <c r="Q193" s="139">
        <v>5390340</v>
      </c>
      <c r="R193" s="392">
        <v>0.1406</v>
      </c>
      <c r="S193" s="393">
        <f t="shared" si="40"/>
        <v>757881.804</v>
      </c>
      <c r="T193" s="387">
        <f t="shared" si="41"/>
        <v>693.1130255882731</v>
      </c>
      <c r="U193" s="141">
        <f t="shared" si="42"/>
        <v>45528</v>
      </c>
      <c r="V193" s="142"/>
      <c r="W193" s="143"/>
      <c r="X193" s="476"/>
      <c r="Y193" s="135" t="str">
        <f t="shared" si="37"/>
        <v/>
      </c>
      <c r="Z193" s="426" t="str">
        <f t="shared" si="38"/>
        <v/>
      </c>
      <c r="AA193" s="136" t="str">
        <f t="shared" si="39"/>
        <v/>
      </c>
      <c r="AB193" s="185"/>
      <c r="AC193" s="185"/>
      <c r="AD193" s="185"/>
      <c r="AE193" s="185"/>
      <c r="AF193" s="185"/>
    </row>
    <row r="194" spans="1:32" s="115" customFormat="1" ht="16" customHeight="1">
      <c r="A194" s="273">
        <v>45468</v>
      </c>
      <c r="B194" s="109" t="s">
        <v>38</v>
      </c>
      <c r="C194" s="137" t="s">
        <v>54</v>
      </c>
      <c r="D194" s="137" t="s">
        <v>433</v>
      </c>
      <c r="E194" s="138"/>
      <c r="F194" s="109" t="s">
        <v>434</v>
      </c>
      <c r="G194" s="133">
        <v>2028</v>
      </c>
      <c r="H194" s="133">
        <f>424-37</f>
        <v>387</v>
      </c>
      <c r="I194" s="109"/>
      <c r="J194" s="109"/>
      <c r="K194" s="133"/>
      <c r="L194" s="109"/>
      <c r="M194" s="109"/>
      <c r="N194" s="109"/>
      <c r="O194" s="391"/>
      <c r="P194" s="138" t="s">
        <v>5</v>
      </c>
      <c r="Q194" s="139">
        <v>1237840</v>
      </c>
      <c r="R194" s="392">
        <v>0.12970000000000001</v>
      </c>
      <c r="S194" s="393">
        <f t="shared" si="40"/>
        <v>160547.848</v>
      </c>
      <c r="T194" s="387">
        <f t="shared" si="41"/>
        <v>610.3747534516765</v>
      </c>
      <c r="U194" s="141">
        <f t="shared" si="42"/>
        <v>45528</v>
      </c>
      <c r="V194" s="142"/>
      <c r="W194" s="143"/>
      <c r="X194" s="476"/>
      <c r="Y194" s="135" t="str">
        <f t="shared" si="37"/>
        <v/>
      </c>
      <c r="Z194" s="426" t="str">
        <f t="shared" si="38"/>
        <v/>
      </c>
      <c r="AA194" s="136" t="str">
        <f t="shared" si="39"/>
        <v/>
      </c>
      <c r="AB194" s="185"/>
      <c r="AC194" s="185"/>
      <c r="AD194" s="185"/>
      <c r="AE194" s="185"/>
      <c r="AF194" s="185"/>
    </row>
    <row r="195" spans="1:32" s="115" customFormat="1" ht="16" customHeight="1">
      <c r="A195" s="273">
        <v>45474</v>
      </c>
      <c r="B195" s="109" t="s">
        <v>38</v>
      </c>
      <c r="C195" s="137" t="s">
        <v>294</v>
      </c>
      <c r="D195" s="137" t="s">
        <v>435</v>
      </c>
      <c r="E195" s="138"/>
      <c r="F195" s="109" t="s">
        <v>77</v>
      </c>
      <c r="G195" s="133">
        <v>810</v>
      </c>
      <c r="H195" s="133">
        <f>201-16</f>
        <v>185</v>
      </c>
      <c r="I195" s="109"/>
      <c r="J195" s="109"/>
      <c r="K195" s="133"/>
      <c r="L195" s="109"/>
      <c r="M195" s="109"/>
      <c r="N195" s="109"/>
      <c r="O195" s="391"/>
      <c r="P195" s="138" t="s">
        <v>5</v>
      </c>
      <c r="Q195" s="139">
        <v>659000</v>
      </c>
      <c r="R195" s="392">
        <v>0.12</v>
      </c>
      <c r="S195" s="393">
        <f t="shared" si="40"/>
        <v>79080</v>
      </c>
      <c r="T195" s="387">
        <f t="shared" si="41"/>
        <v>813.58024691358025</v>
      </c>
      <c r="U195" s="141">
        <f t="shared" si="42"/>
        <v>45534</v>
      </c>
      <c r="V195" s="142"/>
      <c r="W195" s="143"/>
      <c r="X195" s="476"/>
      <c r="Y195" s="135" t="str">
        <f t="shared" si="37"/>
        <v/>
      </c>
      <c r="Z195" s="426" t="str">
        <f t="shared" si="38"/>
        <v/>
      </c>
      <c r="AA195" s="136" t="str">
        <f t="shared" si="39"/>
        <v/>
      </c>
      <c r="AB195" s="185"/>
      <c r="AC195" s="185"/>
      <c r="AD195" s="185"/>
      <c r="AE195" s="185"/>
      <c r="AF195" s="185"/>
    </row>
    <row r="196" spans="1:32" s="115" customFormat="1" ht="16" customHeight="1">
      <c r="A196" s="273">
        <v>45490</v>
      </c>
      <c r="B196" s="109" t="s">
        <v>38</v>
      </c>
      <c r="C196" s="137" t="s">
        <v>54</v>
      </c>
      <c r="D196" s="137" t="s">
        <v>436</v>
      </c>
      <c r="E196" s="492"/>
      <c r="F196" s="109" t="s">
        <v>126</v>
      </c>
      <c r="G196" s="133">
        <v>1239</v>
      </c>
      <c r="H196" s="133">
        <f>387-35</f>
        <v>352</v>
      </c>
      <c r="I196" s="109"/>
      <c r="J196" s="109"/>
      <c r="K196" s="133"/>
      <c r="L196" s="109"/>
      <c r="M196" s="109"/>
      <c r="N196" s="109"/>
      <c r="O196" s="391"/>
      <c r="P196" s="138" t="s">
        <v>5</v>
      </c>
      <c r="Q196" s="139">
        <v>1054710</v>
      </c>
      <c r="R196" s="392">
        <v>0.16539999999999999</v>
      </c>
      <c r="S196" s="393">
        <f t="shared" si="40"/>
        <v>174449.03399999999</v>
      </c>
      <c r="T196" s="387">
        <f t="shared" si="41"/>
        <v>851.25907990314772</v>
      </c>
      <c r="U196" s="141">
        <f t="shared" si="42"/>
        <v>45550</v>
      </c>
      <c r="V196" s="142"/>
      <c r="W196" s="143"/>
      <c r="X196" s="476"/>
      <c r="Y196" s="135" t="str">
        <f t="shared" ref="Y196:Y227" si="43">IF(OR(P196="Ordre",P196="Ferdig"),"x","")</f>
        <v/>
      </c>
      <c r="Z196" s="426" t="str">
        <f t="shared" ref="Z196:Z227" si="44">IF(P196="Ferdig","x","")</f>
        <v/>
      </c>
      <c r="AA196" s="136" t="str">
        <f t="shared" ref="AA196:AA227" si="45">IF(P196="Tapt","x","")</f>
        <v/>
      </c>
      <c r="AB196" s="185"/>
      <c r="AC196" s="185"/>
      <c r="AD196" s="185"/>
      <c r="AE196" s="185"/>
      <c r="AF196" s="185"/>
    </row>
    <row r="197" spans="1:32" s="115" customFormat="1" ht="16" customHeight="1">
      <c r="A197" s="273">
        <v>45490</v>
      </c>
      <c r="B197" s="109" t="s">
        <v>38</v>
      </c>
      <c r="C197" s="137" t="s">
        <v>54</v>
      </c>
      <c r="D197" s="137" t="s">
        <v>437</v>
      </c>
      <c r="E197" s="492"/>
      <c r="F197" s="109" t="s">
        <v>408</v>
      </c>
      <c r="G197" s="133">
        <v>2736</v>
      </c>
      <c r="H197" s="133">
        <f>623-64</f>
        <v>559</v>
      </c>
      <c r="I197" s="109"/>
      <c r="J197" s="109"/>
      <c r="K197" s="133"/>
      <c r="L197" s="109"/>
      <c r="M197" s="109"/>
      <c r="N197" s="109"/>
      <c r="O197" s="391"/>
      <c r="P197" s="138" t="s">
        <v>5</v>
      </c>
      <c r="Q197" s="139">
        <v>1882740</v>
      </c>
      <c r="R197" s="392">
        <v>0.16200000000000001</v>
      </c>
      <c r="S197" s="393">
        <f t="shared" si="40"/>
        <v>305003.88</v>
      </c>
      <c r="T197" s="387">
        <f t="shared" si="41"/>
        <v>688.13596491228066</v>
      </c>
      <c r="U197" s="141">
        <f t="shared" si="42"/>
        <v>45550</v>
      </c>
      <c r="V197" s="142"/>
      <c r="W197" s="143"/>
      <c r="X197" s="476"/>
      <c r="Y197" s="135" t="str">
        <f t="shared" si="43"/>
        <v/>
      </c>
      <c r="Z197" s="426" t="str">
        <f t="shared" si="44"/>
        <v/>
      </c>
      <c r="AA197" s="136" t="str">
        <f t="shared" si="45"/>
        <v/>
      </c>
      <c r="AB197" s="185"/>
      <c r="AC197" s="185"/>
      <c r="AD197" s="185"/>
      <c r="AE197" s="185"/>
      <c r="AF197" s="185"/>
    </row>
    <row r="198" spans="1:32" s="115" customFormat="1" ht="16" customHeight="1">
      <c r="A198" s="273">
        <v>45590</v>
      </c>
      <c r="B198" s="109" t="s">
        <v>38</v>
      </c>
      <c r="C198" s="137" t="s">
        <v>54</v>
      </c>
      <c r="D198" s="137" t="s">
        <v>438</v>
      </c>
      <c r="E198" s="492"/>
      <c r="F198" s="109" t="s">
        <v>439</v>
      </c>
      <c r="G198" s="133">
        <v>6501</v>
      </c>
      <c r="H198" s="133">
        <f>1419-77</f>
        <v>1342</v>
      </c>
      <c r="I198" s="109"/>
      <c r="J198" s="109"/>
      <c r="K198" s="133"/>
      <c r="L198" s="109"/>
      <c r="M198" s="109"/>
      <c r="N198" s="109"/>
      <c r="O198" s="391"/>
      <c r="P198" s="138" t="s">
        <v>5</v>
      </c>
      <c r="Q198" s="139">
        <v>4046740</v>
      </c>
      <c r="R198" s="392">
        <v>0.16</v>
      </c>
      <c r="S198" s="393">
        <f t="shared" si="40"/>
        <v>647478.4</v>
      </c>
      <c r="T198" s="387">
        <f t="shared" si="41"/>
        <v>622.47961852022763</v>
      </c>
      <c r="U198" s="141">
        <f t="shared" si="42"/>
        <v>45650</v>
      </c>
      <c r="V198" s="142"/>
      <c r="W198" s="143"/>
      <c r="X198" s="476"/>
      <c r="Y198" s="135" t="str">
        <f t="shared" si="43"/>
        <v/>
      </c>
      <c r="Z198" s="426" t="str">
        <f t="shared" si="44"/>
        <v/>
      </c>
      <c r="AA198" s="136" t="str">
        <f t="shared" si="45"/>
        <v/>
      </c>
      <c r="AB198" s="185"/>
      <c r="AC198" s="185"/>
      <c r="AD198" s="185"/>
      <c r="AE198" s="185"/>
      <c r="AF198" s="185"/>
    </row>
    <row r="199" spans="1:32" s="115" customFormat="1" ht="16" customHeight="1">
      <c r="A199" s="273">
        <v>45644</v>
      </c>
      <c r="B199" s="109" t="s">
        <v>38</v>
      </c>
      <c r="C199" s="137" t="s">
        <v>54</v>
      </c>
      <c r="D199" s="137" t="s">
        <v>440</v>
      </c>
      <c r="E199" s="492"/>
      <c r="F199" s="109" t="s">
        <v>388</v>
      </c>
      <c r="G199" s="133">
        <v>973</v>
      </c>
      <c r="H199" s="133">
        <f>226-26</f>
        <v>200</v>
      </c>
      <c r="I199" s="109"/>
      <c r="J199" s="109"/>
      <c r="K199" s="133"/>
      <c r="L199" s="109"/>
      <c r="M199" s="109"/>
      <c r="N199" s="109"/>
      <c r="O199" s="391"/>
      <c r="P199" s="138" t="s">
        <v>5</v>
      </c>
      <c r="Q199" s="139">
        <v>848730</v>
      </c>
      <c r="R199" s="392">
        <v>0.18</v>
      </c>
      <c r="S199" s="393">
        <f t="shared" si="40"/>
        <v>152771.4</v>
      </c>
      <c r="T199" s="387">
        <f t="shared" si="41"/>
        <v>872.28160328879756</v>
      </c>
      <c r="U199" s="141">
        <f t="shared" si="42"/>
        <v>45704</v>
      </c>
      <c r="V199" s="142"/>
      <c r="W199" s="143"/>
      <c r="X199" s="476"/>
      <c r="Y199" s="135" t="str">
        <f t="shared" si="43"/>
        <v/>
      </c>
      <c r="Z199" s="426" t="str">
        <f t="shared" si="44"/>
        <v/>
      </c>
      <c r="AA199" s="136" t="str">
        <f t="shared" si="45"/>
        <v/>
      </c>
      <c r="AB199" s="185"/>
      <c r="AC199" s="185"/>
      <c r="AD199" s="185"/>
      <c r="AE199" s="185"/>
      <c r="AF199" s="185"/>
    </row>
    <row r="200" spans="1:32" s="115" customFormat="1" ht="16" customHeight="1">
      <c r="A200" s="273">
        <v>45504</v>
      </c>
      <c r="B200" s="109" t="s">
        <v>38</v>
      </c>
      <c r="C200" s="137" t="s">
        <v>54</v>
      </c>
      <c r="D200" s="137" t="s">
        <v>441</v>
      </c>
      <c r="E200" s="492"/>
      <c r="F200" s="109" t="s">
        <v>298</v>
      </c>
      <c r="G200" s="133">
        <v>623</v>
      </c>
      <c r="H200" s="133">
        <f>192-18</f>
        <v>174</v>
      </c>
      <c r="I200" s="109"/>
      <c r="J200" s="109"/>
      <c r="K200" s="133"/>
      <c r="L200" s="109"/>
      <c r="M200" s="109"/>
      <c r="N200" s="109"/>
      <c r="O200" s="391"/>
      <c r="P200" s="138" t="s">
        <v>5</v>
      </c>
      <c r="Q200" s="139">
        <v>573230</v>
      </c>
      <c r="R200" s="392">
        <v>0.16500000000000001</v>
      </c>
      <c r="S200" s="393">
        <f t="shared" si="40"/>
        <v>94582.950000000012</v>
      </c>
      <c r="T200" s="387">
        <f t="shared" si="41"/>
        <v>920.11235955056179</v>
      </c>
      <c r="U200" s="141">
        <f t="shared" si="42"/>
        <v>45564</v>
      </c>
      <c r="V200" s="142"/>
      <c r="W200" s="143" t="s">
        <v>442</v>
      </c>
      <c r="X200" s="476"/>
      <c r="Y200" s="135" t="str">
        <f t="shared" si="43"/>
        <v/>
      </c>
      <c r="Z200" s="426" t="str">
        <f t="shared" si="44"/>
        <v/>
      </c>
      <c r="AA200" s="136" t="str">
        <f t="shared" si="45"/>
        <v/>
      </c>
      <c r="AB200" s="185"/>
      <c r="AC200" s="185"/>
      <c r="AD200" s="185"/>
      <c r="AE200" s="185"/>
      <c r="AF200" s="185"/>
    </row>
    <row r="201" spans="1:32" s="115" customFormat="1" ht="16" customHeight="1">
      <c r="A201" s="273">
        <v>45483</v>
      </c>
      <c r="B201" s="109" t="s">
        <v>38</v>
      </c>
      <c r="C201" s="137" t="s">
        <v>54</v>
      </c>
      <c r="D201" s="137" t="s">
        <v>443</v>
      </c>
      <c r="E201" s="492"/>
      <c r="F201" s="109" t="s">
        <v>444</v>
      </c>
      <c r="G201" s="133">
        <v>308</v>
      </c>
      <c r="H201" s="133">
        <f>103-14</f>
        <v>89</v>
      </c>
      <c r="I201" s="109"/>
      <c r="J201" s="109"/>
      <c r="K201" s="133"/>
      <c r="L201" s="109"/>
      <c r="M201" s="109"/>
      <c r="N201" s="109"/>
      <c r="O201" s="391"/>
      <c r="P201" s="138" t="s">
        <v>5</v>
      </c>
      <c r="Q201" s="139">
        <v>273250</v>
      </c>
      <c r="R201" s="392">
        <v>0.18</v>
      </c>
      <c r="S201" s="393">
        <f t="shared" si="40"/>
        <v>49185</v>
      </c>
      <c r="T201" s="387">
        <f t="shared" si="41"/>
        <v>887.17532467532465</v>
      </c>
      <c r="U201" s="141">
        <f t="shared" si="42"/>
        <v>45543</v>
      </c>
      <c r="V201" s="142"/>
      <c r="W201" s="143"/>
      <c r="X201" s="476"/>
      <c r="Y201" s="135" t="str">
        <f t="shared" si="43"/>
        <v/>
      </c>
      <c r="Z201" s="426" t="str">
        <f t="shared" si="44"/>
        <v/>
      </c>
      <c r="AA201" s="136" t="str">
        <f t="shared" si="45"/>
        <v/>
      </c>
      <c r="AB201" s="185"/>
      <c r="AC201" s="185"/>
      <c r="AD201" s="185"/>
      <c r="AE201" s="185"/>
      <c r="AF201" s="185"/>
    </row>
    <row r="202" spans="1:32" s="115" customFormat="1" ht="16" customHeight="1">
      <c r="A202" s="273">
        <v>45510</v>
      </c>
      <c r="B202" s="109" t="s">
        <v>38</v>
      </c>
      <c r="C202" s="137" t="s">
        <v>54</v>
      </c>
      <c r="D202" s="137" t="s">
        <v>445</v>
      </c>
      <c r="E202" s="492"/>
      <c r="F202" s="109" t="s">
        <v>446</v>
      </c>
      <c r="G202" s="133">
        <v>2017</v>
      </c>
      <c r="H202" s="133">
        <f>415-39</f>
        <v>376</v>
      </c>
      <c r="I202" s="109"/>
      <c r="J202" s="109"/>
      <c r="K202" s="133"/>
      <c r="L202" s="109"/>
      <c r="M202" s="109"/>
      <c r="N202" s="109"/>
      <c r="O202" s="391"/>
      <c r="P202" s="138" t="s">
        <v>3</v>
      </c>
      <c r="Q202" s="139">
        <v>1353100</v>
      </c>
      <c r="R202" s="392">
        <v>0.18</v>
      </c>
      <c r="S202" s="393">
        <f t="shared" si="40"/>
        <v>243558</v>
      </c>
      <c r="T202" s="387">
        <f t="shared" si="41"/>
        <v>670.8477937530987</v>
      </c>
      <c r="U202" s="141">
        <f t="shared" si="42"/>
        <v>45570</v>
      </c>
      <c r="V202" s="142"/>
      <c r="W202" s="143"/>
      <c r="X202" s="476"/>
      <c r="Y202" s="135" t="str">
        <f t="shared" si="43"/>
        <v>x</v>
      </c>
      <c r="Z202" s="426" t="str">
        <f t="shared" si="44"/>
        <v/>
      </c>
      <c r="AA202" s="136" t="str">
        <f t="shared" si="45"/>
        <v/>
      </c>
      <c r="AB202" s="185"/>
      <c r="AC202" s="185"/>
      <c r="AD202" s="185"/>
      <c r="AE202" s="185"/>
      <c r="AF202" s="185"/>
    </row>
    <row r="203" spans="1:32" s="115" customFormat="1" ht="16" customHeight="1">
      <c r="A203" s="273">
        <v>45530</v>
      </c>
      <c r="B203" s="109" t="s">
        <v>38</v>
      </c>
      <c r="C203" s="137" t="s">
        <v>447</v>
      </c>
      <c r="D203" s="137" t="s">
        <v>448</v>
      </c>
      <c r="E203" s="492"/>
      <c r="F203" s="109" t="s">
        <v>449</v>
      </c>
      <c r="G203" s="133">
        <v>22026</v>
      </c>
      <c r="H203" s="133">
        <f>2548+2577</f>
        <v>5125</v>
      </c>
      <c r="I203" s="109"/>
      <c r="J203" s="109"/>
      <c r="K203" s="133"/>
      <c r="L203" s="109"/>
      <c r="M203" s="109"/>
      <c r="N203" s="109"/>
      <c r="O203" s="391"/>
      <c r="P203" s="138" t="s">
        <v>5</v>
      </c>
      <c r="Q203" s="139">
        <v>16105380</v>
      </c>
      <c r="R203" s="392">
        <v>0.22</v>
      </c>
      <c r="S203" s="393">
        <f t="shared" si="40"/>
        <v>3543183.6</v>
      </c>
      <c r="T203" s="387">
        <f t="shared" si="41"/>
        <v>731.19858349223648</v>
      </c>
      <c r="U203" s="141">
        <f t="shared" si="42"/>
        <v>45590</v>
      </c>
      <c r="V203" s="142"/>
      <c r="W203" s="143"/>
      <c r="X203" s="476"/>
      <c r="Y203" s="135" t="str">
        <f t="shared" si="43"/>
        <v/>
      </c>
      <c r="Z203" s="426" t="str">
        <f t="shared" si="44"/>
        <v/>
      </c>
      <c r="AA203" s="136" t="str">
        <f t="shared" si="45"/>
        <v/>
      </c>
      <c r="AB203" s="185"/>
      <c r="AC203" s="185"/>
      <c r="AD203" s="185"/>
      <c r="AE203" s="185"/>
      <c r="AF203" s="185"/>
    </row>
    <row r="204" spans="1:32" s="115" customFormat="1" ht="16" customHeight="1">
      <c r="A204" s="273">
        <v>45517</v>
      </c>
      <c r="B204" s="109" t="s">
        <v>38</v>
      </c>
      <c r="C204" s="137" t="s">
        <v>54</v>
      </c>
      <c r="D204" s="137" t="s">
        <v>450</v>
      </c>
      <c r="E204" s="492"/>
      <c r="F204" s="109" t="s">
        <v>50</v>
      </c>
      <c r="G204" s="133">
        <v>2988</v>
      </c>
      <c r="H204" s="133">
        <f>525-53</f>
        <v>472</v>
      </c>
      <c r="I204" s="109"/>
      <c r="J204" s="109"/>
      <c r="K204" s="133"/>
      <c r="L204" s="109"/>
      <c r="M204" s="109"/>
      <c r="N204" s="109"/>
      <c r="O204" s="391"/>
      <c r="P204" s="138" t="s">
        <v>3</v>
      </c>
      <c r="Q204" s="139">
        <v>1849240</v>
      </c>
      <c r="R204" s="392">
        <v>0.13</v>
      </c>
      <c r="S204" s="393">
        <f t="shared" ref="S204:S235" si="46">Q204*R204</f>
        <v>240401.2</v>
      </c>
      <c r="T204" s="387">
        <f t="shared" ref="T204:T227" si="47">Q204/G204</f>
        <v>618.88888888888891</v>
      </c>
      <c r="U204" s="141">
        <f t="shared" si="42"/>
        <v>45577</v>
      </c>
      <c r="V204" s="142"/>
      <c r="W204" s="143"/>
      <c r="X204" s="476"/>
      <c r="Y204" s="135" t="str">
        <f t="shared" si="43"/>
        <v>x</v>
      </c>
      <c r="Z204" s="426" t="str">
        <f t="shared" si="44"/>
        <v/>
      </c>
      <c r="AA204" s="136" t="str">
        <f t="shared" si="45"/>
        <v/>
      </c>
      <c r="AB204" s="185"/>
      <c r="AC204" s="185"/>
      <c r="AD204" s="185"/>
      <c r="AE204" s="185"/>
      <c r="AF204" s="185"/>
    </row>
    <row r="205" spans="1:32" s="115" customFormat="1" ht="16" customHeight="1">
      <c r="A205" s="273">
        <v>45517</v>
      </c>
      <c r="B205" s="109" t="s">
        <v>38</v>
      </c>
      <c r="C205" s="137" t="s">
        <v>54</v>
      </c>
      <c r="D205" s="137" t="s">
        <v>451</v>
      </c>
      <c r="E205" s="492"/>
      <c r="F205" s="109" t="s">
        <v>452</v>
      </c>
      <c r="G205" s="133">
        <v>3539</v>
      </c>
      <c r="H205" s="133">
        <f>884-98</f>
        <v>786</v>
      </c>
      <c r="I205" s="109"/>
      <c r="J205" s="109"/>
      <c r="K205" s="133"/>
      <c r="L205" s="109"/>
      <c r="M205" s="109"/>
      <c r="N205" s="109"/>
      <c r="O205" s="391"/>
      <c r="P205" s="138" t="s">
        <v>5</v>
      </c>
      <c r="Q205" s="139">
        <v>2650300</v>
      </c>
      <c r="R205" s="392">
        <v>0.18</v>
      </c>
      <c r="S205" s="393">
        <f t="shared" si="46"/>
        <v>477054</v>
      </c>
      <c r="T205" s="387">
        <f t="shared" si="47"/>
        <v>748.88386549872848</v>
      </c>
      <c r="U205" s="141">
        <f t="shared" si="42"/>
        <v>45577</v>
      </c>
      <c r="V205" s="142"/>
      <c r="W205" s="143"/>
      <c r="X205" s="476"/>
      <c r="Y205" s="135" t="str">
        <f t="shared" si="43"/>
        <v/>
      </c>
      <c r="Z205" s="426" t="str">
        <f t="shared" si="44"/>
        <v/>
      </c>
      <c r="AA205" s="136" t="str">
        <f t="shared" si="45"/>
        <v/>
      </c>
      <c r="AB205" s="185"/>
      <c r="AC205" s="185"/>
      <c r="AD205" s="185"/>
      <c r="AE205" s="185"/>
      <c r="AF205" s="185"/>
    </row>
    <row r="206" spans="1:32" s="115" customFormat="1" ht="16" customHeight="1">
      <c r="A206" s="273">
        <v>45524</v>
      </c>
      <c r="B206" s="109" t="s">
        <v>38</v>
      </c>
      <c r="C206" s="137" t="s">
        <v>54</v>
      </c>
      <c r="D206" s="137" t="s">
        <v>453</v>
      </c>
      <c r="E206" s="492"/>
      <c r="F206" s="511" t="s">
        <v>50</v>
      </c>
      <c r="G206" s="133">
        <v>1458</v>
      </c>
      <c r="H206" s="133">
        <f>383-31</f>
        <v>352</v>
      </c>
      <c r="I206" s="109"/>
      <c r="J206" s="109"/>
      <c r="K206" s="133"/>
      <c r="L206" s="109"/>
      <c r="M206" s="109"/>
      <c r="N206" s="109"/>
      <c r="O206" s="391"/>
      <c r="P206" s="138" t="s">
        <v>5</v>
      </c>
      <c r="Q206" s="139">
        <v>1100270</v>
      </c>
      <c r="R206" s="392">
        <v>0.16</v>
      </c>
      <c r="S206" s="393">
        <f t="shared" si="46"/>
        <v>176043.2</v>
      </c>
      <c r="T206" s="387">
        <f t="shared" si="47"/>
        <v>754.64334705075441</v>
      </c>
      <c r="U206" s="141">
        <f t="shared" si="42"/>
        <v>45584</v>
      </c>
      <c r="V206" s="142"/>
      <c r="W206" s="143"/>
      <c r="X206" s="476"/>
      <c r="Y206" s="135" t="str">
        <f t="shared" si="43"/>
        <v/>
      </c>
      <c r="Z206" s="426" t="str">
        <f t="shared" si="44"/>
        <v/>
      </c>
      <c r="AA206" s="136" t="str">
        <f t="shared" si="45"/>
        <v/>
      </c>
      <c r="AB206" s="185"/>
      <c r="AC206" s="185"/>
      <c r="AD206" s="185"/>
      <c r="AE206" s="185"/>
      <c r="AF206" s="185"/>
    </row>
    <row r="207" spans="1:32" s="115" customFormat="1" ht="16" customHeight="1">
      <c r="A207" s="273">
        <v>45520</v>
      </c>
      <c r="B207" s="109" t="s">
        <v>38</v>
      </c>
      <c r="C207" s="137" t="s">
        <v>294</v>
      </c>
      <c r="D207" s="137" t="s">
        <v>454</v>
      </c>
      <c r="E207" s="492"/>
      <c r="F207" s="109" t="s">
        <v>208</v>
      </c>
      <c r="G207" s="133">
        <v>449</v>
      </c>
      <c r="H207" s="133">
        <f>174-25</f>
        <v>149</v>
      </c>
      <c r="I207" s="109"/>
      <c r="J207" s="109"/>
      <c r="K207" s="133"/>
      <c r="L207" s="109"/>
      <c r="M207" s="109"/>
      <c r="N207" s="109"/>
      <c r="O207" s="391"/>
      <c r="P207" s="138" t="s">
        <v>5</v>
      </c>
      <c r="Q207" s="139">
        <v>615930</v>
      </c>
      <c r="R207" s="392">
        <v>0.18</v>
      </c>
      <c r="S207" s="393">
        <f t="shared" si="46"/>
        <v>110867.4</v>
      </c>
      <c r="T207" s="387">
        <f t="shared" si="47"/>
        <v>1371.781737193764</v>
      </c>
      <c r="U207" s="141">
        <f t="shared" si="42"/>
        <v>45580</v>
      </c>
      <c r="V207" s="142"/>
      <c r="W207" s="143"/>
      <c r="X207" s="476"/>
      <c r="Y207" s="135" t="str">
        <f t="shared" si="43"/>
        <v/>
      </c>
      <c r="Z207" s="426" t="str">
        <f t="shared" si="44"/>
        <v/>
      </c>
      <c r="AA207" s="136" t="str">
        <f t="shared" si="45"/>
        <v/>
      </c>
      <c r="AB207" s="185"/>
      <c r="AC207" s="185"/>
      <c r="AD207" s="185"/>
      <c r="AE207" s="185"/>
      <c r="AF207" s="185"/>
    </row>
    <row r="208" spans="1:32" s="115" customFormat="1" ht="16" customHeight="1">
      <c r="A208" s="273">
        <v>45544</v>
      </c>
      <c r="B208" s="109" t="s">
        <v>38</v>
      </c>
      <c r="C208" s="137" t="s">
        <v>455</v>
      </c>
      <c r="D208" s="137" t="s">
        <v>456</v>
      </c>
      <c r="E208" s="492"/>
      <c r="F208" s="510" t="s">
        <v>83</v>
      </c>
      <c r="G208" s="133">
        <v>5471</v>
      </c>
      <c r="H208" s="133">
        <f>1450-85</f>
        <v>1365</v>
      </c>
      <c r="I208" s="109"/>
      <c r="J208" s="109"/>
      <c r="K208" s="133"/>
      <c r="L208" s="109"/>
      <c r="M208" s="109"/>
      <c r="N208" s="109"/>
      <c r="O208" s="391"/>
      <c r="P208" s="138" t="s">
        <v>5</v>
      </c>
      <c r="Q208" s="139">
        <v>4258790</v>
      </c>
      <c r="R208" s="392">
        <v>0.18</v>
      </c>
      <c r="S208" s="393">
        <f t="shared" si="46"/>
        <v>766582.2</v>
      </c>
      <c r="T208" s="387">
        <f t="shared" si="47"/>
        <v>778.42990312557117</v>
      </c>
      <c r="U208" s="141">
        <f t="shared" si="42"/>
        <v>45604</v>
      </c>
      <c r="V208" s="142"/>
      <c r="W208" s="143" t="s">
        <v>457</v>
      </c>
      <c r="X208" s="476"/>
      <c r="Y208" s="135" t="str">
        <f t="shared" si="43"/>
        <v/>
      </c>
      <c r="Z208" s="426" t="str">
        <f t="shared" si="44"/>
        <v/>
      </c>
      <c r="AA208" s="136" t="str">
        <f t="shared" si="45"/>
        <v/>
      </c>
      <c r="AB208" s="185"/>
      <c r="AC208" s="185"/>
      <c r="AD208" s="185"/>
      <c r="AE208" s="185"/>
      <c r="AF208" s="185"/>
    </row>
    <row r="209" spans="1:32" s="115" customFormat="1" ht="16" customHeight="1">
      <c r="A209" s="273">
        <v>45524</v>
      </c>
      <c r="B209" s="109" t="s">
        <v>38</v>
      </c>
      <c r="C209" s="137" t="s">
        <v>54</v>
      </c>
      <c r="D209" s="137" t="s">
        <v>458</v>
      </c>
      <c r="E209" s="492"/>
      <c r="F209" s="109" t="s">
        <v>406</v>
      </c>
      <c r="G209" s="133">
        <v>938</v>
      </c>
      <c r="H209" s="133">
        <f>283-30</f>
        <v>253</v>
      </c>
      <c r="I209" s="109"/>
      <c r="J209" s="109"/>
      <c r="K209" s="133"/>
      <c r="L209" s="109"/>
      <c r="M209" s="109"/>
      <c r="N209" s="109"/>
      <c r="O209" s="391"/>
      <c r="P209" s="138" t="s">
        <v>5</v>
      </c>
      <c r="Q209" s="139">
        <v>746190</v>
      </c>
      <c r="R209" s="392">
        <v>0.16</v>
      </c>
      <c r="S209" s="393">
        <f t="shared" si="46"/>
        <v>119390.40000000001</v>
      </c>
      <c r="T209" s="387">
        <f t="shared" si="47"/>
        <v>795.51172707889123</v>
      </c>
      <c r="U209" s="141">
        <f t="shared" si="42"/>
        <v>45584</v>
      </c>
      <c r="V209" s="142"/>
      <c r="W209" s="143"/>
      <c r="X209" s="476"/>
      <c r="Y209" s="135" t="str">
        <f t="shared" si="43"/>
        <v/>
      </c>
      <c r="Z209" s="426" t="str">
        <f t="shared" si="44"/>
        <v/>
      </c>
      <c r="AA209" s="136" t="str">
        <f t="shared" si="45"/>
        <v/>
      </c>
      <c r="AB209" s="185"/>
      <c r="AC209" s="185"/>
      <c r="AD209" s="185"/>
      <c r="AE209" s="185"/>
      <c r="AF209" s="185"/>
    </row>
    <row r="210" spans="1:32" s="115" customFormat="1" ht="16" customHeight="1">
      <c r="A210" s="273">
        <v>45524</v>
      </c>
      <c r="B210" s="109" t="s">
        <v>38</v>
      </c>
      <c r="C210" s="137" t="s">
        <v>340</v>
      </c>
      <c r="D210" s="137" t="s">
        <v>459</v>
      </c>
      <c r="E210" s="492"/>
      <c r="F210" s="109" t="s">
        <v>83</v>
      </c>
      <c r="G210" s="133">
        <v>1176</v>
      </c>
      <c r="H210" s="133">
        <f>265-24</f>
        <v>241</v>
      </c>
      <c r="I210" s="109"/>
      <c r="J210" s="109"/>
      <c r="K210" s="133"/>
      <c r="L210" s="109"/>
      <c r="M210" s="109"/>
      <c r="N210" s="109"/>
      <c r="O210" s="391"/>
      <c r="P210" s="138" t="s">
        <v>5</v>
      </c>
      <c r="Q210" s="139">
        <v>805790</v>
      </c>
      <c r="R210" s="392">
        <v>0.16</v>
      </c>
      <c r="S210" s="393">
        <f t="shared" si="46"/>
        <v>128926.40000000001</v>
      </c>
      <c r="T210" s="387">
        <f t="shared" si="47"/>
        <v>685.19557823129253</v>
      </c>
      <c r="U210" s="141">
        <f t="shared" si="42"/>
        <v>45584</v>
      </c>
      <c r="V210" s="142"/>
      <c r="W210" s="143"/>
      <c r="X210" s="476"/>
      <c r="Y210" s="135" t="str">
        <f t="shared" si="43"/>
        <v/>
      </c>
      <c r="Z210" s="426" t="str">
        <f t="shared" si="44"/>
        <v/>
      </c>
      <c r="AA210" s="136" t="str">
        <f t="shared" si="45"/>
        <v/>
      </c>
      <c r="AB210" s="185"/>
      <c r="AC210" s="185"/>
      <c r="AD210" s="185"/>
      <c r="AE210" s="185"/>
      <c r="AF210" s="185"/>
    </row>
    <row r="211" spans="1:32" s="115" customFormat="1" ht="16" customHeight="1">
      <c r="A211" s="273">
        <v>45526</v>
      </c>
      <c r="B211" s="109" t="s">
        <v>38</v>
      </c>
      <c r="C211" s="137" t="s">
        <v>59</v>
      </c>
      <c r="D211" s="137" t="s">
        <v>460</v>
      </c>
      <c r="E211" s="492"/>
      <c r="F211" s="109" t="s">
        <v>41</v>
      </c>
      <c r="G211" s="133">
        <v>139</v>
      </c>
      <c r="H211" s="133">
        <v>50</v>
      </c>
      <c r="I211" s="109"/>
      <c r="J211" s="109"/>
      <c r="K211" s="133"/>
      <c r="L211" s="109"/>
      <c r="M211" s="109"/>
      <c r="N211" s="109"/>
      <c r="O211" s="391"/>
      <c r="P211" s="138" t="s">
        <v>7</v>
      </c>
      <c r="Q211" s="139">
        <v>124540</v>
      </c>
      <c r="R211" s="392">
        <v>0.23</v>
      </c>
      <c r="S211" s="393">
        <f t="shared" si="46"/>
        <v>28644.2</v>
      </c>
      <c r="T211" s="387">
        <f t="shared" si="47"/>
        <v>895.97122302158277</v>
      </c>
      <c r="U211" s="141">
        <f t="shared" si="42"/>
        <v>45586</v>
      </c>
      <c r="V211" s="142"/>
      <c r="W211" s="143"/>
      <c r="X211" s="476"/>
      <c r="Y211" s="135" t="str">
        <f t="shared" si="43"/>
        <v>x</v>
      </c>
      <c r="Z211" s="426" t="str">
        <f t="shared" si="44"/>
        <v>x</v>
      </c>
      <c r="AA211" s="136" t="str">
        <f t="shared" si="45"/>
        <v/>
      </c>
      <c r="AB211" s="185"/>
      <c r="AC211" s="185"/>
      <c r="AD211" s="185"/>
      <c r="AE211" s="185"/>
      <c r="AF211" s="185"/>
    </row>
    <row r="212" spans="1:32" s="115" customFormat="1" ht="16" customHeight="1">
      <c r="A212" s="273">
        <v>45572</v>
      </c>
      <c r="B212" s="109" t="s">
        <v>38</v>
      </c>
      <c r="C212" s="137" t="s">
        <v>461</v>
      </c>
      <c r="D212" s="137" t="s">
        <v>462</v>
      </c>
      <c r="E212" s="492"/>
      <c r="F212" s="109" t="s">
        <v>463</v>
      </c>
      <c r="G212" s="133">
        <v>6175</v>
      </c>
      <c r="H212" s="133">
        <f>1307-101</f>
        <v>1206</v>
      </c>
      <c r="I212" s="109"/>
      <c r="J212" s="109"/>
      <c r="K212" s="133"/>
      <c r="L212" s="109"/>
      <c r="M212" s="109"/>
      <c r="N212" s="109"/>
      <c r="O212" s="391"/>
      <c r="P212" s="138" t="s">
        <v>5</v>
      </c>
      <c r="Q212" s="139">
        <v>3958400</v>
      </c>
      <c r="R212" s="392">
        <v>0.108</v>
      </c>
      <c r="S212" s="393">
        <f t="shared" si="46"/>
        <v>427507.20000000001</v>
      </c>
      <c r="T212" s="387">
        <f t="shared" si="47"/>
        <v>641.0364372469636</v>
      </c>
      <c r="U212" s="141">
        <f t="shared" si="42"/>
        <v>45632</v>
      </c>
      <c r="V212" s="142"/>
      <c r="W212" s="143"/>
      <c r="X212" s="476"/>
      <c r="Y212" s="135" t="str">
        <f t="shared" si="43"/>
        <v/>
      </c>
      <c r="Z212" s="426" t="str">
        <f t="shared" si="44"/>
        <v/>
      </c>
      <c r="AA212" s="136" t="str">
        <f t="shared" si="45"/>
        <v/>
      </c>
      <c r="AB212" s="185"/>
      <c r="AC212" s="185"/>
      <c r="AD212" s="185"/>
      <c r="AE212" s="185"/>
      <c r="AF212" s="185"/>
    </row>
    <row r="213" spans="1:32" s="115" customFormat="1" ht="16" customHeight="1">
      <c r="A213" s="273">
        <v>45525</v>
      </c>
      <c r="B213" s="109" t="s">
        <v>38</v>
      </c>
      <c r="C213" s="137" t="s">
        <v>464</v>
      </c>
      <c r="D213" s="137" t="s">
        <v>465</v>
      </c>
      <c r="E213" s="492"/>
      <c r="F213" s="109" t="s">
        <v>466</v>
      </c>
      <c r="G213" s="133">
        <v>2664</v>
      </c>
      <c r="H213" s="133">
        <f>758-44</f>
        <v>714</v>
      </c>
      <c r="I213" s="109"/>
      <c r="J213" s="109"/>
      <c r="K213" s="133"/>
      <c r="L213" s="109"/>
      <c r="M213" s="109"/>
      <c r="N213" s="109"/>
      <c r="O213" s="391"/>
      <c r="P213" s="138" t="s">
        <v>5</v>
      </c>
      <c r="Q213" s="139">
        <v>1951350</v>
      </c>
      <c r="R213" s="392">
        <v>0.18229999999999999</v>
      </c>
      <c r="S213" s="393">
        <f t="shared" si="46"/>
        <v>355731.10499999998</v>
      </c>
      <c r="T213" s="387">
        <f t="shared" si="47"/>
        <v>732.48873873873879</v>
      </c>
      <c r="U213" s="141">
        <f t="shared" si="42"/>
        <v>45585</v>
      </c>
      <c r="V213" s="142"/>
      <c r="W213" s="143"/>
      <c r="X213" s="476"/>
      <c r="Y213" s="135" t="str">
        <f t="shared" si="43"/>
        <v/>
      </c>
      <c r="Z213" s="426" t="str">
        <f t="shared" si="44"/>
        <v/>
      </c>
      <c r="AA213" s="136" t="str">
        <f t="shared" si="45"/>
        <v/>
      </c>
      <c r="AB213" s="185"/>
      <c r="AC213" s="185"/>
      <c r="AD213" s="185"/>
      <c r="AE213" s="185"/>
      <c r="AF213" s="185"/>
    </row>
    <row r="214" spans="1:32" s="115" customFormat="1" ht="16" customHeight="1">
      <c r="A214" s="273">
        <v>45524</v>
      </c>
      <c r="B214" s="109" t="s">
        <v>38</v>
      </c>
      <c r="C214" s="137" t="s">
        <v>455</v>
      </c>
      <c r="D214" s="137" t="s">
        <v>467</v>
      </c>
      <c r="E214" s="492"/>
      <c r="F214" s="109" t="s">
        <v>468</v>
      </c>
      <c r="G214" s="133">
        <v>1440</v>
      </c>
      <c r="H214" s="133">
        <f>316-26</f>
        <v>290</v>
      </c>
      <c r="I214" s="109"/>
      <c r="J214" s="109"/>
      <c r="K214" s="133"/>
      <c r="L214" s="109"/>
      <c r="M214" s="109"/>
      <c r="N214" s="109"/>
      <c r="O214" s="391"/>
      <c r="P214" s="138" t="s">
        <v>5</v>
      </c>
      <c r="Q214" s="139">
        <v>980790</v>
      </c>
      <c r="R214" s="392">
        <v>0.16</v>
      </c>
      <c r="S214" s="393">
        <f t="shared" si="46"/>
        <v>156926.39999999999</v>
      </c>
      <c r="T214" s="387">
        <f t="shared" si="47"/>
        <v>681.10416666666663</v>
      </c>
      <c r="U214" s="141">
        <f t="shared" si="42"/>
        <v>45584</v>
      </c>
      <c r="V214" s="142"/>
      <c r="W214" s="143"/>
      <c r="X214" s="476"/>
      <c r="Y214" s="135" t="str">
        <f t="shared" si="43"/>
        <v/>
      </c>
      <c r="Z214" s="426" t="str">
        <f t="shared" si="44"/>
        <v/>
      </c>
      <c r="AA214" s="136" t="str">
        <f t="shared" si="45"/>
        <v/>
      </c>
      <c r="AB214" s="185"/>
      <c r="AC214" s="185"/>
      <c r="AD214" s="185"/>
      <c r="AE214" s="185"/>
      <c r="AF214" s="185"/>
    </row>
    <row r="215" spans="1:32" s="115" customFormat="1" ht="16" customHeight="1">
      <c r="A215" s="273">
        <v>45888</v>
      </c>
      <c r="B215" s="109" t="s">
        <v>38</v>
      </c>
      <c r="C215" s="137" t="s">
        <v>54</v>
      </c>
      <c r="D215" s="137" t="s">
        <v>469</v>
      </c>
      <c r="E215" s="492"/>
      <c r="F215" s="109" t="s">
        <v>470</v>
      </c>
      <c r="G215" s="133">
        <v>12390</v>
      </c>
      <c r="H215" s="133">
        <f>2566-89</f>
        <v>2477</v>
      </c>
      <c r="I215" s="109"/>
      <c r="J215" s="109"/>
      <c r="K215" s="133"/>
      <c r="L215" s="109"/>
      <c r="M215" s="109"/>
      <c r="N215" s="109"/>
      <c r="O215" s="391"/>
      <c r="P215" s="138" t="s">
        <v>5</v>
      </c>
      <c r="Q215" s="139">
        <v>3627480</v>
      </c>
      <c r="R215" s="392">
        <v>0.16</v>
      </c>
      <c r="S215" s="393">
        <f t="shared" si="46"/>
        <v>580396.80000000005</v>
      </c>
      <c r="T215" s="387">
        <f t="shared" si="47"/>
        <v>292.77481840193707</v>
      </c>
      <c r="U215" s="141">
        <f t="shared" si="42"/>
        <v>45948</v>
      </c>
      <c r="V215" s="142"/>
      <c r="W215" s="143"/>
      <c r="X215" s="476" t="s">
        <v>471</v>
      </c>
      <c r="Y215" s="135" t="str">
        <f t="shared" si="43"/>
        <v/>
      </c>
      <c r="Z215" s="426" t="str">
        <f t="shared" si="44"/>
        <v/>
      </c>
      <c r="AA215" s="136" t="str">
        <f t="shared" si="45"/>
        <v/>
      </c>
      <c r="AB215" s="185"/>
      <c r="AC215" s="185"/>
      <c r="AD215" s="185"/>
      <c r="AE215" s="185"/>
      <c r="AF215" s="185"/>
    </row>
    <row r="216" spans="1:32" s="115" customFormat="1" ht="16" customHeight="1">
      <c r="A216" s="273">
        <v>45538</v>
      </c>
      <c r="B216" s="109" t="s">
        <v>38</v>
      </c>
      <c r="C216" s="137" t="s">
        <v>336</v>
      </c>
      <c r="D216" s="137" t="s">
        <v>472</v>
      </c>
      <c r="E216" s="492"/>
      <c r="F216" s="109" t="s">
        <v>112</v>
      </c>
      <c r="G216" s="133">
        <f>1551+1348</f>
        <v>2899</v>
      </c>
      <c r="H216" s="133">
        <f>403-35+465-41</f>
        <v>792</v>
      </c>
      <c r="I216" s="109"/>
      <c r="J216" s="109"/>
      <c r="K216" s="133"/>
      <c r="L216" s="109"/>
      <c r="M216" s="109"/>
      <c r="N216" s="109"/>
      <c r="O216" s="391"/>
      <c r="P216" s="138" t="s">
        <v>80</v>
      </c>
      <c r="Q216" s="139">
        <f>1527290+1311980</f>
        <v>2839270</v>
      </c>
      <c r="R216" s="392">
        <v>0.16</v>
      </c>
      <c r="S216" s="393">
        <f t="shared" si="46"/>
        <v>454283.2</v>
      </c>
      <c r="T216" s="387">
        <f t="shared" si="47"/>
        <v>979.39634356674719</v>
      </c>
      <c r="U216" s="141">
        <f t="shared" si="42"/>
        <v>45598</v>
      </c>
      <c r="V216" s="142"/>
      <c r="W216" s="143"/>
      <c r="X216" s="476"/>
      <c r="Y216" s="135" t="str">
        <f t="shared" si="43"/>
        <v/>
      </c>
      <c r="Z216" s="426" t="str">
        <f t="shared" si="44"/>
        <v/>
      </c>
      <c r="AA216" s="136" t="str">
        <f t="shared" si="45"/>
        <v/>
      </c>
      <c r="AB216" s="185"/>
      <c r="AC216" s="185"/>
      <c r="AD216" s="185"/>
      <c r="AE216" s="185"/>
      <c r="AF216" s="185"/>
    </row>
    <row r="217" spans="1:32" s="115" customFormat="1" ht="16" customHeight="1">
      <c r="A217" s="273">
        <v>45558</v>
      </c>
      <c r="B217" s="109" t="s">
        <v>38</v>
      </c>
      <c r="C217" s="137" t="s">
        <v>54</v>
      </c>
      <c r="D217" s="137" t="s">
        <v>473</v>
      </c>
      <c r="E217" s="492"/>
      <c r="F217" s="109" t="s">
        <v>126</v>
      </c>
      <c r="G217" s="133">
        <v>16537</v>
      </c>
      <c r="H217" s="133">
        <f>3076-157</f>
        <v>2919</v>
      </c>
      <c r="I217" s="109"/>
      <c r="J217" s="109"/>
      <c r="K217" s="133"/>
      <c r="L217" s="109"/>
      <c r="M217" s="109"/>
      <c r="N217" s="109"/>
      <c r="O217" s="391"/>
      <c r="P217" s="138" t="s">
        <v>7</v>
      </c>
      <c r="Q217" s="139">
        <v>9048210</v>
      </c>
      <c r="R217" s="392">
        <v>0.08</v>
      </c>
      <c r="S217" s="393">
        <f t="shared" si="46"/>
        <v>723856.8</v>
      </c>
      <c r="T217" s="387">
        <f t="shared" si="47"/>
        <v>547.14942250710533</v>
      </c>
      <c r="U217" s="141">
        <f t="shared" si="42"/>
        <v>45618</v>
      </c>
      <c r="V217" s="142"/>
      <c r="W217" s="143" t="s">
        <v>474</v>
      </c>
      <c r="X217" s="476"/>
      <c r="Y217" s="135" t="str">
        <f t="shared" si="43"/>
        <v>x</v>
      </c>
      <c r="Z217" s="426" t="str">
        <f t="shared" si="44"/>
        <v>x</v>
      </c>
      <c r="AA217" s="136" t="str">
        <f t="shared" si="45"/>
        <v/>
      </c>
      <c r="AB217" s="185"/>
      <c r="AC217" s="185"/>
      <c r="AD217" s="185"/>
      <c r="AE217" s="185"/>
      <c r="AF217" s="185"/>
    </row>
    <row r="218" spans="1:32" s="115" customFormat="1" ht="16" customHeight="1">
      <c r="A218" s="273">
        <v>45544</v>
      </c>
      <c r="B218" s="109" t="s">
        <v>38</v>
      </c>
      <c r="C218" s="137" t="s">
        <v>294</v>
      </c>
      <c r="D218" s="137" t="s">
        <v>475</v>
      </c>
      <c r="E218" s="492"/>
      <c r="F218" s="109" t="s">
        <v>130</v>
      </c>
      <c r="G218" s="133">
        <v>2632</v>
      </c>
      <c r="H218" s="133">
        <f>616-52</f>
        <v>564</v>
      </c>
      <c r="I218" s="109"/>
      <c r="J218" s="109"/>
      <c r="K218" s="133"/>
      <c r="L218" s="109"/>
      <c r="M218" s="109"/>
      <c r="N218" s="109"/>
      <c r="O218" s="391"/>
      <c r="P218" s="138" t="s">
        <v>5</v>
      </c>
      <c r="Q218" s="139">
        <v>2318630</v>
      </c>
      <c r="R218" s="392">
        <v>0.1681</v>
      </c>
      <c r="S218" s="393">
        <f t="shared" si="46"/>
        <v>389761.70299999998</v>
      </c>
      <c r="T218" s="387">
        <f t="shared" si="47"/>
        <v>880.93844984802433</v>
      </c>
      <c r="U218" s="141">
        <f t="shared" si="42"/>
        <v>45604</v>
      </c>
      <c r="V218" s="142"/>
      <c r="W218" s="143"/>
      <c r="X218" s="476"/>
      <c r="Y218" s="135" t="str">
        <f t="shared" si="43"/>
        <v/>
      </c>
      <c r="Z218" s="426" t="str">
        <f t="shared" si="44"/>
        <v/>
      </c>
      <c r="AA218" s="136" t="str">
        <f t="shared" si="45"/>
        <v/>
      </c>
      <c r="AB218" s="185"/>
      <c r="AC218" s="185"/>
      <c r="AD218" s="185"/>
      <c r="AE218" s="185"/>
      <c r="AF218" s="185"/>
    </row>
    <row r="219" spans="1:32" s="115" customFormat="1" ht="16" customHeight="1">
      <c r="A219" s="273">
        <v>45553</v>
      </c>
      <c r="B219" s="109" t="s">
        <v>38</v>
      </c>
      <c r="C219" s="137" t="s">
        <v>54</v>
      </c>
      <c r="D219" s="137" t="s">
        <v>476</v>
      </c>
      <c r="E219" s="492"/>
      <c r="F219" s="109" t="s">
        <v>408</v>
      </c>
      <c r="G219" s="133">
        <v>1696</v>
      </c>
      <c r="H219" s="133">
        <f>410-41</f>
        <v>369</v>
      </c>
      <c r="I219" s="109"/>
      <c r="J219" s="109"/>
      <c r="K219" s="133"/>
      <c r="L219" s="109"/>
      <c r="M219" s="109"/>
      <c r="N219" s="109"/>
      <c r="O219" s="391"/>
      <c r="P219" s="138" t="s">
        <v>5</v>
      </c>
      <c r="Q219" s="139">
        <v>1184910</v>
      </c>
      <c r="R219" s="392">
        <v>0.18</v>
      </c>
      <c r="S219" s="393">
        <f t="shared" si="46"/>
        <v>213283.8</v>
      </c>
      <c r="T219" s="387">
        <f t="shared" si="47"/>
        <v>698.64976415094338</v>
      </c>
      <c r="U219" s="141">
        <f t="shared" si="42"/>
        <v>45613</v>
      </c>
      <c r="V219" s="142"/>
      <c r="W219" s="143"/>
      <c r="X219" s="476"/>
      <c r="Y219" s="135" t="str">
        <f t="shared" si="43"/>
        <v/>
      </c>
      <c r="Z219" s="426" t="str">
        <f t="shared" si="44"/>
        <v/>
      </c>
      <c r="AA219" s="136" t="str">
        <f t="shared" si="45"/>
        <v/>
      </c>
      <c r="AB219" s="185"/>
      <c r="AC219" s="185"/>
      <c r="AD219" s="185"/>
      <c r="AE219" s="185"/>
      <c r="AF219" s="185"/>
    </row>
    <row r="220" spans="1:32" s="115" customFormat="1" ht="16" customHeight="1">
      <c r="A220" s="273">
        <v>45555</v>
      </c>
      <c r="B220" s="109" t="s">
        <v>38</v>
      </c>
      <c r="C220" s="137" t="s">
        <v>54</v>
      </c>
      <c r="D220" s="137" t="s">
        <v>477</v>
      </c>
      <c r="E220" s="492"/>
      <c r="F220" s="109" t="s">
        <v>50</v>
      </c>
      <c r="G220" s="133">
        <v>915</v>
      </c>
      <c r="H220" s="133">
        <f>221-25</f>
        <v>196</v>
      </c>
      <c r="I220" s="109"/>
      <c r="J220" s="109"/>
      <c r="K220" s="133"/>
      <c r="L220" s="109"/>
      <c r="M220" s="109"/>
      <c r="N220" s="109"/>
      <c r="O220" s="391"/>
      <c r="P220" s="138" t="s">
        <v>7</v>
      </c>
      <c r="Q220" s="139">
        <v>589940</v>
      </c>
      <c r="R220" s="392">
        <v>6.3899999999999998E-2</v>
      </c>
      <c r="S220" s="393">
        <f t="shared" si="46"/>
        <v>37697.165999999997</v>
      </c>
      <c r="T220" s="387">
        <f t="shared" si="47"/>
        <v>644.74316939890707</v>
      </c>
      <c r="U220" s="141">
        <f t="shared" si="42"/>
        <v>45615</v>
      </c>
      <c r="V220" s="142"/>
      <c r="W220" s="143"/>
      <c r="X220" s="476"/>
      <c r="Y220" s="135" t="str">
        <f t="shared" si="43"/>
        <v>x</v>
      </c>
      <c r="Z220" s="426" t="str">
        <f t="shared" si="44"/>
        <v>x</v>
      </c>
      <c r="AA220" s="136" t="str">
        <f t="shared" si="45"/>
        <v/>
      </c>
      <c r="AB220" s="185"/>
      <c r="AC220" s="185"/>
      <c r="AD220" s="185"/>
      <c r="AE220" s="185"/>
      <c r="AF220" s="185"/>
    </row>
    <row r="221" spans="1:32" s="115" customFormat="1" ht="16" customHeight="1">
      <c r="A221" s="273">
        <v>45670</v>
      </c>
      <c r="B221" s="109" t="s">
        <v>38</v>
      </c>
      <c r="C221" s="137" t="s">
        <v>54</v>
      </c>
      <c r="D221" s="137" t="s">
        <v>478</v>
      </c>
      <c r="E221" s="492"/>
      <c r="F221" s="109" t="s">
        <v>479</v>
      </c>
      <c r="G221" s="133">
        <v>1918</v>
      </c>
      <c r="H221" s="133">
        <f>539-61</f>
        <v>478</v>
      </c>
      <c r="I221" s="109"/>
      <c r="J221" s="109"/>
      <c r="K221" s="133"/>
      <c r="L221" s="109"/>
      <c r="M221" s="109"/>
      <c r="N221" s="109"/>
      <c r="O221" s="391"/>
      <c r="P221" s="138" t="s">
        <v>7</v>
      </c>
      <c r="Q221" s="139">
        <v>1496680</v>
      </c>
      <c r="R221" s="392">
        <v>0.17</v>
      </c>
      <c r="S221" s="393">
        <f t="shared" si="46"/>
        <v>254435.6</v>
      </c>
      <c r="T221" s="387">
        <f t="shared" si="47"/>
        <v>780.33368091762247</v>
      </c>
      <c r="U221" s="141">
        <f t="shared" si="42"/>
        <v>45730</v>
      </c>
      <c r="V221" s="142"/>
      <c r="W221" s="143"/>
      <c r="X221" s="476"/>
      <c r="Y221" s="135" t="str">
        <f t="shared" si="43"/>
        <v>x</v>
      </c>
      <c r="Z221" s="426" t="str">
        <f t="shared" si="44"/>
        <v>x</v>
      </c>
      <c r="AA221" s="136" t="str">
        <f t="shared" si="45"/>
        <v/>
      </c>
      <c r="AB221" s="185"/>
      <c r="AC221" s="185"/>
      <c r="AD221" s="185"/>
      <c r="AE221" s="185"/>
      <c r="AF221" s="185"/>
    </row>
    <row r="222" spans="1:32" s="115" customFormat="1" ht="16" customHeight="1">
      <c r="A222" s="273">
        <v>45576</v>
      </c>
      <c r="B222" s="109" t="s">
        <v>38</v>
      </c>
      <c r="C222" s="137" t="s">
        <v>336</v>
      </c>
      <c r="D222" s="137" t="s">
        <v>480</v>
      </c>
      <c r="E222" s="492"/>
      <c r="F222" s="109" t="s">
        <v>83</v>
      </c>
      <c r="G222" s="133">
        <v>821</v>
      </c>
      <c r="H222" s="133">
        <f>264-25</f>
        <v>239</v>
      </c>
      <c r="I222" s="109"/>
      <c r="J222" s="109"/>
      <c r="K222" s="133"/>
      <c r="L222" s="109"/>
      <c r="M222" s="109"/>
      <c r="N222" s="109"/>
      <c r="O222" s="391"/>
      <c r="P222" s="138" t="s">
        <v>5</v>
      </c>
      <c r="Q222" s="139">
        <v>824100</v>
      </c>
      <c r="R222" s="392">
        <v>0.122</v>
      </c>
      <c r="S222" s="393">
        <f t="shared" si="46"/>
        <v>100540.2</v>
      </c>
      <c r="T222" s="387">
        <f t="shared" si="47"/>
        <v>1003.7758830694276</v>
      </c>
      <c r="U222" s="141">
        <f t="shared" si="42"/>
        <v>45636</v>
      </c>
      <c r="V222" s="142"/>
      <c r="W222" s="143" t="s">
        <v>481</v>
      </c>
      <c r="X222" s="476"/>
      <c r="Y222" s="135" t="str">
        <f t="shared" si="43"/>
        <v/>
      </c>
      <c r="Z222" s="426" t="str">
        <f t="shared" si="44"/>
        <v/>
      </c>
      <c r="AA222" s="136" t="str">
        <f t="shared" si="45"/>
        <v/>
      </c>
      <c r="AB222" s="185"/>
      <c r="AC222" s="185"/>
      <c r="AD222" s="185"/>
      <c r="AE222" s="185"/>
      <c r="AF222" s="185"/>
    </row>
    <row r="223" spans="1:32" s="115" customFormat="1" ht="16" customHeight="1">
      <c r="A223" s="273">
        <v>45616</v>
      </c>
      <c r="B223" s="109" t="s">
        <v>38</v>
      </c>
      <c r="C223" s="137" t="s">
        <v>54</v>
      </c>
      <c r="D223" s="137" t="s">
        <v>482</v>
      </c>
      <c r="E223" s="492"/>
      <c r="F223" s="109" t="s">
        <v>483</v>
      </c>
      <c r="G223" s="133">
        <v>1814</v>
      </c>
      <c r="H223" s="133">
        <f>454-34</f>
        <v>420</v>
      </c>
      <c r="I223" s="109"/>
      <c r="J223" s="109"/>
      <c r="K223" s="133"/>
      <c r="L223" s="109"/>
      <c r="M223" s="109"/>
      <c r="N223" s="109"/>
      <c r="O223" s="391"/>
      <c r="P223" s="138" t="s">
        <v>7</v>
      </c>
      <c r="Q223" s="139">
        <v>1457970</v>
      </c>
      <c r="R223" s="392">
        <v>7.0000000000000007E-2</v>
      </c>
      <c r="S223" s="393">
        <f t="shared" si="46"/>
        <v>102057.90000000001</v>
      </c>
      <c r="T223" s="387">
        <f t="shared" si="47"/>
        <v>803.7320837927233</v>
      </c>
      <c r="U223" s="141">
        <f t="shared" si="42"/>
        <v>45676</v>
      </c>
      <c r="V223" s="142"/>
      <c r="W223" s="143"/>
      <c r="X223" s="476"/>
      <c r="Y223" s="135" t="str">
        <f t="shared" si="43"/>
        <v>x</v>
      </c>
      <c r="Z223" s="426" t="str">
        <f t="shared" si="44"/>
        <v>x</v>
      </c>
      <c r="AA223" s="136" t="str">
        <f t="shared" si="45"/>
        <v/>
      </c>
      <c r="AB223" s="185"/>
      <c r="AC223" s="185"/>
      <c r="AD223" s="185"/>
      <c r="AE223" s="185"/>
      <c r="AF223" s="185"/>
    </row>
    <row r="224" spans="1:32" s="115" customFormat="1" ht="16" customHeight="1">
      <c r="A224" s="273">
        <v>45552</v>
      </c>
      <c r="B224" s="109" t="s">
        <v>38</v>
      </c>
      <c r="C224" s="137" t="s">
        <v>54</v>
      </c>
      <c r="D224" s="137" t="s">
        <v>484</v>
      </c>
      <c r="E224" s="492"/>
      <c r="F224" s="109" t="s">
        <v>485</v>
      </c>
      <c r="G224" s="133">
        <v>5513</v>
      </c>
      <c r="H224" s="133">
        <f>1508-118</f>
        <v>1390</v>
      </c>
      <c r="I224" s="109"/>
      <c r="J224" s="109"/>
      <c r="K224" s="133"/>
      <c r="L224" s="109"/>
      <c r="M224" s="109"/>
      <c r="N224" s="109"/>
      <c r="O224" s="391"/>
      <c r="P224" s="138" t="s">
        <v>5</v>
      </c>
      <c r="Q224" s="139">
        <v>4527580</v>
      </c>
      <c r="R224" s="392">
        <v>0.18</v>
      </c>
      <c r="S224" s="393">
        <f t="shared" si="46"/>
        <v>814964.4</v>
      </c>
      <c r="T224" s="387">
        <f t="shared" si="47"/>
        <v>821.25521494649013</v>
      </c>
      <c r="U224" s="141">
        <f t="shared" si="42"/>
        <v>45612</v>
      </c>
      <c r="V224" s="142"/>
      <c r="W224" s="143"/>
      <c r="X224" s="476"/>
      <c r="Y224" s="135" t="str">
        <f t="shared" si="43"/>
        <v/>
      </c>
      <c r="Z224" s="426" t="str">
        <f t="shared" si="44"/>
        <v/>
      </c>
      <c r="AA224" s="136" t="str">
        <f t="shared" si="45"/>
        <v/>
      </c>
      <c r="AB224" s="185"/>
      <c r="AC224" s="185"/>
      <c r="AD224" s="185"/>
      <c r="AE224" s="185"/>
      <c r="AF224" s="185"/>
    </row>
    <row r="225" spans="1:32" s="115" customFormat="1" ht="16" customHeight="1">
      <c r="A225" s="273">
        <v>45562</v>
      </c>
      <c r="B225" s="109" t="s">
        <v>38</v>
      </c>
      <c r="C225" s="137" t="s">
        <v>340</v>
      </c>
      <c r="D225" s="137" t="s">
        <v>486</v>
      </c>
      <c r="E225" s="492"/>
      <c r="F225" s="109" t="s">
        <v>83</v>
      </c>
      <c r="G225" s="133">
        <v>2730</v>
      </c>
      <c r="H225" s="133">
        <f>1160-40</f>
        <v>1120</v>
      </c>
      <c r="I225" s="109"/>
      <c r="J225" s="109"/>
      <c r="K225" s="133"/>
      <c r="L225" s="109"/>
      <c r="M225" s="109"/>
      <c r="N225" s="109"/>
      <c r="O225" s="391"/>
      <c r="P225" s="138" t="s">
        <v>2</v>
      </c>
      <c r="Q225" s="139">
        <v>1796460</v>
      </c>
      <c r="R225" s="392">
        <v>0.2</v>
      </c>
      <c r="S225" s="393">
        <f t="shared" si="46"/>
        <v>359292</v>
      </c>
      <c r="T225" s="387">
        <f t="shared" si="47"/>
        <v>658.04395604395609</v>
      </c>
      <c r="U225" s="141">
        <f t="shared" si="42"/>
        <v>45622</v>
      </c>
      <c r="V225" s="142"/>
      <c r="W225" s="143" t="s">
        <v>487</v>
      </c>
      <c r="X225" s="476"/>
      <c r="Y225" s="135" t="str">
        <f t="shared" si="43"/>
        <v/>
      </c>
      <c r="Z225" s="426" t="str">
        <f t="shared" si="44"/>
        <v/>
      </c>
      <c r="AA225" s="136" t="str">
        <f t="shared" si="45"/>
        <v>x</v>
      </c>
      <c r="AB225" s="185"/>
      <c r="AC225" s="185"/>
      <c r="AD225" s="185"/>
      <c r="AE225" s="185"/>
      <c r="AF225" s="185"/>
    </row>
    <row r="226" spans="1:32" s="115" customFormat="1" ht="16" customHeight="1">
      <c r="A226" s="273">
        <v>45553</v>
      </c>
      <c r="B226" s="109" t="s">
        <v>38</v>
      </c>
      <c r="C226" s="137" t="s">
        <v>39</v>
      </c>
      <c r="D226" s="137" t="s">
        <v>488</v>
      </c>
      <c r="E226" s="492"/>
      <c r="F226" s="109" t="s">
        <v>41</v>
      </c>
      <c r="G226" s="133">
        <v>420</v>
      </c>
      <c r="H226" s="133">
        <f>152</f>
        <v>152</v>
      </c>
      <c r="I226" s="109"/>
      <c r="J226" s="109"/>
      <c r="K226" s="133"/>
      <c r="L226" s="109"/>
      <c r="M226" s="109"/>
      <c r="N226" s="109"/>
      <c r="O226" s="391"/>
      <c r="P226" s="138" t="s">
        <v>5</v>
      </c>
      <c r="Q226" s="139">
        <v>425920</v>
      </c>
      <c r="R226" s="392">
        <v>0.2379</v>
      </c>
      <c r="S226" s="393">
        <f t="shared" si="46"/>
        <v>101326.368</v>
      </c>
      <c r="T226" s="387">
        <f t="shared" si="47"/>
        <v>1014.0952380952381</v>
      </c>
      <c r="U226" s="141">
        <f t="shared" si="42"/>
        <v>45613</v>
      </c>
      <c r="V226" s="142"/>
      <c r="W226" s="143" t="s">
        <v>487</v>
      </c>
      <c r="X226" s="476"/>
      <c r="Y226" s="135" t="str">
        <f t="shared" si="43"/>
        <v/>
      </c>
      <c r="Z226" s="426" t="str">
        <f t="shared" si="44"/>
        <v/>
      </c>
      <c r="AA226" s="136" t="str">
        <f t="shared" si="45"/>
        <v/>
      </c>
      <c r="AB226" s="185"/>
      <c r="AC226" s="185"/>
      <c r="AD226" s="185"/>
      <c r="AE226" s="185"/>
      <c r="AF226" s="185"/>
    </row>
    <row r="227" spans="1:32" s="115" customFormat="1" ht="16" customHeight="1">
      <c r="A227" s="273">
        <v>45575</v>
      </c>
      <c r="B227" s="109" t="s">
        <v>38</v>
      </c>
      <c r="C227" s="137" t="s">
        <v>54</v>
      </c>
      <c r="D227" s="137" t="s">
        <v>489</v>
      </c>
      <c r="E227" s="492"/>
      <c r="F227" s="109" t="s">
        <v>490</v>
      </c>
      <c r="G227" s="133">
        <v>9181</v>
      </c>
      <c r="H227" s="133">
        <v>1784</v>
      </c>
      <c r="I227" s="109"/>
      <c r="J227" s="109"/>
      <c r="K227" s="133"/>
      <c r="L227" s="109"/>
      <c r="M227" s="109"/>
      <c r="N227" s="109"/>
      <c r="O227" s="391"/>
      <c r="P227" s="138" t="s">
        <v>3</v>
      </c>
      <c r="Q227" s="139">
        <v>5628480</v>
      </c>
      <c r="R227" s="392">
        <v>0.06</v>
      </c>
      <c r="S227" s="393">
        <f t="shared" si="46"/>
        <v>337708.79999999999</v>
      </c>
      <c r="T227" s="387">
        <f t="shared" si="47"/>
        <v>613.05740115455831</v>
      </c>
      <c r="U227" s="141">
        <f t="shared" si="42"/>
        <v>45635</v>
      </c>
      <c r="V227" s="142"/>
      <c r="W227" s="109" t="s">
        <v>491</v>
      </c>
      <c r="X227" s="476"/>
      <c r="Y227" s="135" t="str">
        <f t="shared" si="43"/>
        <v>x</v>
      </c>
      <c r="Z227" s="426" t="str">
        <f t="shared" si="44"/>
        <v/>
      </c>
      <c r="AA227" s="136" t="str">
        <f t="shared" si="45"/>
        <v/>
      </c>
      <c r="AB227" s="185"/>
      <c r="AC227" s="185"/>
      <c r="AD227" s="185"/>
      <c r="AE227" s="185"/>
      <c r="AF227" s="185"/>
    </row>
    <row r="228" spans="1:32" s="115" customFormat="1" ht="16" customHeight="1">
      <c r="A228" s="273"/>
      <c r="B228" s="109" t="s">
        <v>38</v>
      </c>
      <c r="C228" s="137"/>
      <c r="D228" s="137" t="s">
        <v>492</v>
      </c>
      <c r="E228" s="492"/>
      <c r="F228" s="109"/>
      <c r="G228" s="133"/>
      <c r="H228" s="133"/>
      <c r="I228" s="109"/>
      <c r="J228" s="109"/>
      <c r="K228" s="133"/>
      <c r="L228" s="109"/>
      <c r="M228" s="109"/>
      <c r="N228" s="109"/>
      <c r="O228" s="391"/>
      <c r="P228" s="138" t="s">
        <v>80</v>
      </c>
      <c r="Q228" s="139"/>
      <c r="R228" s="392"/>
      <c r="S228" s="393"/>
      <c r="T228" s="387"/>
      <c r="U228" s="141" t="str">
        <f t="shared" si="42"/>
        <v/>
      </c>
      <c r="V228" s="142"/>
      <c r="W228" s="143"/>
      <c r="X228" s="476"/>
      <c r="Y228" s="135" t="str">
        <f t="shared" ref="Y228:Y259" si="48">IF(OR(P228="Ordre",P228="Ferdig"),"x","")</f>
        <v/>
      </c>
      <c r="Z228" s="426" t="str">
        <f t="shared" ref="Z228:Z259" si="49">IF(P228="Ferdig","x","")</f>
        <v/>
      </c>
      <c r="AA228" s="136" t="str">
        <f t="shared" ref="AA228:AA259" si="50">IF(P228="Tapt","x","")</f>
        <v/>
      </c>
      <c r="AB228" s="185"/>
      <c r="AC228" s="185"/>
      <c r="AD228" s="185"/>
      <c r="AE228" s="185"/>
      <c r="AF228" s="185"/>
    </row>
    <row r="229" spans="1:32" s="115" customFormat="1" ht="16" customHeight="1">
      <c r="A229" s="273">
        <v>45554</v>
      </c>
      <c r="B229" s="109" t="s">
        <v>38</v>
      </c>
      <c r="C229" s="137" t="s">
        <v>493</v>
      </c>
      <c r="D229" s="137" t="s">
        <v>494</v>
      </c>
      <c r="E229" s="492"/>
      <c r="F229" s="109" t="s">
        <v>495</v>
      </c>
      <c r="G229" s="133">
        <v>1943</v>
      </c>
      <c r="H229" s="133">
        <f>518-27</f>
        <v>491</v>
      </c>
      <c r="I229" s="109"/>
      <c r="J229" s="109"/>
      <c r="K229" s="133"/>
      <c r="L229" s="109"/>
      <c r="M229" s="109"/>
      <c r="N229" s="109"/>
      <c r="O229" s="391"/>
      <c r="P229" s="138" t="s">
        <v>5</v>
      </c>
      <c r="Q229" s="139">
        <v>1494850</v>
      </c>
      <c r="R229" s="392">
        <v>0.15759999999999999</v>
      </c>
      <c r="S229" s="393">
        <f t="shared" ref="S229:S239" si="51">Q229*R229</f>
        <v>235588.36</v>
      </c>
      <c r="T229" s="387">
        <f t="shared" ref="T229:T239" si="52">Q229/G229</f>
        <v>769.35151827071536</v>
      </c>
      <c r="U229" s="141">
        <f t="shared" si="42"/>
        <v>45614</v>
      </c>
      <c r="V229" s="142"/>
      <c r="W229" s="143"/>
      <c r="X229" s="476"/>
      <c r="Y229" s="135" t="str">
        <f t="shared" si="48"/>
        <v/>
      </c>
      <c r="Z229" s="426" t="str">
        <f t="shared" si="49"/>
        <v/>
      </c>
      <c r="AA229" s="136" t="str">
        <f t="shared" si="50"/>
        <v/>
      </c>
      <c r="AB229" s="185"/>
      <c r="AC229" s="185"/>
      <c r="AD229" s="185"/>
      <c r="AE229" s="185"/>
      <c r="AF229" s="185"/>
    </row>
    <row r="230" spans="1:32" s="115" customFormat="1" ht="16" customHeight="1">
      <c r="A230" s="273">
        <v>45558</v>
      </c>
      <c r="B230" s="109" t="s">
        <v>38</v>
      </c>
      <c r="C230" s="137" t="s">
        <v>54</v>
      </c>
      <c r="D230" s="137" t="s">
        <v>496</v>
      </c>
      <c r="E230" s="492"/>
      <c r="F230" s="109" t="s">
        <v>497</v>
      </c>
      <c r="G230" s="133">
        <v>443</v>
      </c>
      <c r="H230" s="133">
        <v>115</v>
      </c>
      <c r="I230" s="109"/>
      <c r="J230" s="109"/>
      <c r="K230" s="133"/>
      <c r="L230" s="109"/>
      <c r="M230" s="109"/>
      <c r="N230" s="109"/>
      <c r="O230" s="391"/>
      <c r="P230" s="138" t="s">
        <v>5</v>
      </c>
      <c r="Q230" s="139">
        <v>377060</v>
      </c>
      <c r="R230" s="392">
        <v>0.18</v>
      </c>
      <c r="S230" s="393">
        <f t="shared" si="51"/>
        <v>67870.8</v>
      </c>
      <c r="T230" s="387">
        <f t="shared" si="52"/>
        <v>851.15124153498869</v>
      </c>
      <c r="U230" s="141">
        <f t="shared" si="42"/>
        <v>45618</v>
      </c>
      <c r="V230" s="142"/>
      <c r="W230" s="143"/>
      <c r="X230" s="476"/>
      <c r="Y230" s="135" t="str">
        <f t="shared" si="48"/>
        <v/>
      </c>
      <c r="Z230" s="426" t="str">
        <f t="shared" si="49"/>
        <v/>
      </c>
      <c r="AA230" s="136" t="str">
        <f t="shared" si="50"/>
        <v/>
      </c>
      <c r="AB230" s="185"/>
      <c r="AC230" s="185"/>
      <c r="AD230" s="185"/>
      <c r="AE230" s="185"/>
      <c r="AF230" s="185"/>
    </row>
    <row r="231" spans="1:32" s="115" customFormat="1" ht="16" customHeight="1">
      <c r="A231" s="273">
        <v>45580</v>
      </c>
      <c r="B231" s="109" t="s">
        <v>38</v>
      </c>
      <c r="C231" s="137" t="s">
        <v>498</v>
      </c>
      <c r="D231" s="137" t="s">
        <v>499</v>
      </c>
      <c r="E231" s="492"/>
      <c r="F231" s="109" t="s">
        <v>199</v>
      </c>
      <c r="G231" s="133">
        <f>13700+3594+195</f>
        <v>17489</v>
      </c>
      <c r="H231" s="133">
        <f>1647-151</f>
        <v>1496</v>
      </c>
      <c r="I231" s="109"/>
      <c r="J231" s="109"/>
      <c r="K231" s="133"/>
      <c r="L231" s="109"/>
      <c r="M231" s="109"/>
      <c r="N231" s="109"/>
      <c r="O231" s="391"/>
      <c r="P231" s="138" t="s">
        <v>7</v>
      </c>
      <c r="Q231" s="139">
        <v>5479670</v>
      </c>
      <c r="R231" s="392">
        <v>0.154</v>
      </c>
      <c r="S231" s="393">
        <f t="shared" si="51"/>
        <v>843869.17999999993</v>
      </c>
      <c r="T231" s="387">
        <f t="shared" si="52"/>
        <v>313.32094459374463</v>
      </c>
      <c r="U231" s="141">
        <f t="shared" si="42"/>
        <v>45640</v>
      </c>
      <c r="V231" s="142"/>
      <c r="W231" s="143" t="s">
        <v>500</v>
      </c>
      <c r="X231" s="476"/>
      <c r="Y231" s="135" t="str">
        <f t="shared" si="48"/>
        <v>x</v>
      </c>
      <c r="Z231" s="426" t="str">
        <f t="shared" si="49"/>
        <v>x</v>
      </c>
      <c r="AA231" s="136" t="str">
        <f t="shared" si="50"/>
        <v/>
      </c>
      <c r="AB231" s="185"/>
      <c r="AC231" s="185"/>
      <c r="AD231" s="185"/>
      <c r="AE231" s="185"/>
      <c r="AF231" s="185"/>
    </row>
    <row r="232" spans="1:32" s="115" customFormat="1" ht="16" customHeight="1">
      <c r="A232" s="273">
        <v>45576</v>
      </c>
      <c r="B232" s="109" t="s">
        <v>38</v>
      </c>
      <c r="C232" s="137" t="s">
        <v>501</v>
      </c>
      <c r="D232" s="137" t="s">
        <v>502</v>
      </c>
      <c r="E232" s="492"/>
      <c r="F232" s="109" t="s">
        <v>503</v>
      </c>
      <c r="G232" s="133">
        <v>270</v>
      </c>
      <c r="H232" s="133">
        <f>85</f>
        <v>85</v>
      </c>
      <c r="I232" s="109"/>
      <c r="J232" s="109"/>
      <c r="K232" s="133"/>
      <c r="L232" s="109"/>
      <c r="M232" s="109"/>
      <c r="N232" s="109"/>
      <c r="O232" s="391"/>
      <c r="P232" s="138" t="s">
        <v>7</v>
      </c>
      <c r="Q232" s="139">
        <v>383300</v>
      </c>
      <c r="R232" s="392">
        <v>0.18</v>
      </c>
      <c r="S232" s="393">
        <f t="shared" si="51"/>
        <v>68994</v>
      </c>
      <c r="T232" s="387">
        <f t="shared" si="52"/>
        <v>1419.6296296296296</v>
      </c>
      <c r="U232" s="141">
        <f t="shared" si="42"/>
        <v>45636</v>
      </c>
      <c r="V232" s="142"/>
      <c r="W232" s="143"/>
      <c r="X232" s="476"/>
      <c r="Y232" s="135" t="str">
        <f t="shared" si="48"/>
        <v>x</v>
      </c>
      <c r="Z232" s="426" t="str">
        <f t="shared" si="49"/>
        <v>x</v>
      </c>
      <c r="AA232" s="136" t="str">
        <f t="shared" si="50"/>
        <v/>
      </c>
      <c r="AB232" s="185"/>
      <c r="AC232" s="185"/>
      <c r="AD232" s="185"/>
      <c r="AE232" s="185"/>
      <c r="AF232" s="185"/>
    </row>
    <row r="233" spans="1:32" s="115" customFormat="1" ht="16" customHeight="1">
      <c r="A233" s="273">
        <v>45568</v>
      </c>
      <c r="B233" s="109" t="s">
        <v>38</v>
      </c>
      <c r="C233" s="137" t="s">
        <v>504</v>
      </c>
      <c r="D233" s="137" t="s">
        <v>505</v>
      </c>
      <c r="E233" s="492"/>
      <c r="F233" s="109" t="s">
        <v>506</v>
      </c>
      <c r="G233" s="133">
        <v>1616</v>
      </c>
      <c r="H233" s="133">
        <f>390-43</f>
        <v>347</v>
      </c>
      <c r="I233" s="109"/>
      <c r="J233" s="109"/>
      <c r="K233" s="133"/>
      <c r="L233" s="109"/>
      <c r="M233" s="109"/>
      <c r="N233" s="109"/>
      <c r="O233" s="391"/>
      <c r="P233" s="138" t="s">
        <v>5</v>
      </c>
      <c r="Q233" s="139">
        <v>1226320</v>
      </c>
      <c r="R233" s="392">
        <v>0.15</v>
      </c>
      <c r="S233" s="393">
        <f t="shared" si="51"/>
        <v>183948</v>
      </c>
      <c r="T233" s="387">
        <f t="shared" si="52"/>
        <v>758.86138613861385</v>
      </c>
      <c r="U233" s="141">
        <f t="shared" si="42"/>
        <v>45628</v>
      </c>
      <c r="V233" s="142"/>
      <c r="W233" s="143"/>
      <c r="X233" s="476"/>
      <c r="Y233" s="135" t="str">
        <f t="shared" si="48"/>
        <v/>
      </c>
      <c r="Z233" s="426" t="str">
        <f t="shared" si="49"/>
        <v/>
      </c>
      <c r="AA233" s="136" t="str">
        <f t="shared" si="50"/>
        <v/>
      </c>
      <c r="AB233" s="185"/>
      <c r="AC233" s="185"/>
      <c r="AD233" s="185"/>
      <c r="AE233" s="185"/>
      <c r="AF233" s="185"/>
    </row>
    <row r="234" spans="1:32" s="115" customFormat="1" ht="16" customHeight="1">
      <c r="A234" s="273">
        <v>45581</v>
      </c>
      <c r="B234" s="109" t="s">
        <v>38</v>
      </c>
      <c r="C234" s="137" t="s">
        <v>54</v>
      </c>
      <c r="D234" s="137" t="s">
        <v>507</v>
      </c>
      <c r="E234" s="492"/>
      <c r="F234" s="109" t="s">
        <v>508</v>
      </c>
      <c r="G234" s="133">
        <v>4111</v>
      </c>
      <c r="H234" s="133">
        <f>799-55</f>
        <v>744</v>
      </c>
      <c r="I234" s="109"/>
      <c r="J234" s="109"/>
      <c r="K234" s="133"/>
      <c r="L234" s="109"/>
      <c r="M234" s="109"/>
      <c r="N234" s="109"/>
      <c r="O234" s="391"/>
      <c r="P234" s="138" t="s">
        <v>5</v>
      </c>
      <c r="Q234" s="139">
        <v>2516380</v>
      </c>
      <c r="R234" s="392">
        <v>0.16</v>
      </c>
      <c r="S234" s="393">
        <f t="shared" si="51"/>
        <v>402620.8</v>
      </c>
      <c r="T234" s="387">
        <f t="shared" si="52"/>
        <v>612.10897591826802</v>
      </c>
      <c r="U234" s="141">
        <f t="shared" si="42"/>
        <v>45641</v>
      </c>
      <c r="V234" s="142"/>
      <c r="W234" s="143"/>
      <c r="X234" s="476"/>
      <c r="Y234" s="135" t="str">
        <f t="shared" si="48"/>
        <v/>
      </c>
      <c r="Z234" s="426" t="str">
        <f t="shared" si="49"/>
        <v/>
      </c>
      <c r="AA234" s="136" t="str">
        <f t="shared" si="50"/>
        <v/>
      </c>
      <c r="AB234" s="185"/>
      <c r="AC234" s="185"/>
      <c r="AD234" s="185"/>
      <c r="AE234" s="185"/>
      <c r="AF234" s="185"/>
    </row>
    <row r="235" spans="1:32" s="115" customFormat="1" ht="16" customHeight="1">
      <c r="A235" s="273">
        <v>45581</v>
      </c>
      <c r="B235" s="109" t="s">
        <v>38</v>
      </c>
      <c r="C235" s="137" t="s">
        <v>54</v>
      </c>
      <c r="D235" s="137" t="s">
        <v>509</v>
      </c>
      <c r="E235" s="492"/>
      <c r="F235" s="109" t="s">
        <v>510</v>
      </c>
      <c r="G235" s="133">
        <v>287</v>
      </c>
      <c r="H235" s="133">
        <v>80</v>
      </c>
      <c r="I235" s="109"/>
      <c r="J235" s="109"/>
      <c r="K235" s="133"/>
      <c r="L235" s="109"/>
      <c r="M235" s="109"/>
      <c r="N235" s="109"/>
      <c r="O235" s="391"/>
      <c r="P235" s="138" t="s">
        <v>5</v>
      </c>
      <c r="Q235" s="139">
        <v>269480</v>
      </c>
      <c r="R235" s="392">
        <v>0.18</v>
      </c>
      <c r="S235" s="393">
        <f t="shared" si="51"/>
        <v>48506.400000000001</v>
      </c>
      <c r="T235" s="387">
        <f t="shared" si="52"/>
        <v>938.95470383275256</v>
      </c>
      <c r="U235" s="141">
        <f t="shared" si="42"/>
        <v>45641</v>
      </c>
      <c r="V235" s="142"/>
      <c r="W235" s="496"/>
      <c r="X235" s="476"/>
      <c r="Y235" s="135" t="str">
        <f t="shared" si="48"/>
        <v/>
      </c>
      <c r="Z235" s="426" t="str">
        <f t="shared" si="49"/>
        <v/>
      </c>
      <c r="AA235" s="136" t="str">
        <f t="shared" si="50"/>
        <v/>
      </c>
      <c r="AB235" s="185"/>
      <c r="AC235" s="185"/>
      <c r="AD235" s="185"/>
      <c r="AE235" s="185"/>
      <c r="AF235" s="185"/>
    </row>
    <row r="236" spans="1:32" s="115" customFormat="1" ht="16" customHeight="1">
      <c r="A236" s="273">
        <v>45601</v>
      </c>
      <c r="B236" s="109" t="s">
        <v>38</v>
      </c>
      <c r="C236" s="137" t="s">
        <v>54</v>
      </c>
      <c r="D236" s="137" t="s">
        <v>511</v>
      </c>
      <c r="E236" s="492"/>
      <c r="F236" s="109" t="s">
        <v>434</v>
      </c>
      <c r="G236" s="133">
        <v>10080</v>
      </c>
      <c r="H236" s="133">
        <f>1812-115</f>
        <v>1697</v>
      </c>
      <c r="I236" s="109"/>
      <c r="J236" s="109"/>
      <c r="K236" s="133"/>
      <c r="L236" s="109"/>
      <c r="M236" s="109"/>
      <c r="N236" s="109"/>
      <c r="O236" s="391"/>
      <c r="P236" s="138" t="s">
        <v>5</v>
      </c>
      <c r="Q236" s="139">
        <v>5694090</v>
      </c>
      <c r="R236" s="392">
        <v>0.13800000000000001</v>
      </c>
      <c r="S236" s="393">
        <f t="shared" si="51"/>
        <v>785784.42</v>
      </c>
      <c r="T236" s="387">
        <f t="shared" si="52"/>
        <v>564.88988095238096</v>
      </c>
      <c r="U236" s="141">
        <f t="shared" ref="U236:U299" si="53">IF(A236="","",(A236+60))</f>
        <v>45661</v>
      </c>
      <c r="V236" s="142"/>
      <c r="W236" s="143"/>
      <c r="X236" s="476"/>
      <c r="Y236" s="135" t="str">
        <f t="shared" si="48"/>
        <v/>
      </c>
      <c r="Z236" s="426" t="str">
        <f t="shared" si="49"/>
        <v/>
      </c>
      <c r="AA236" s="136" t="str">
        <f t="shared" si="50"/>
        <v/>
      </c>
      <c r="AB236" s="185"/>
      <c r="AC236" s="185"/>
      <c r="AD236" s="185"/>
      <c r="AE236" s="185"/>
      <c r="AF236" s="185"/>
    </row>
    <row r="237" spans="1:32" s="115" customFormat="1" ht="16" customHeight="1">
      <c r="A237" s="273">
        <v>45608</v>
      </c>
      <c r="B237" s="109" t="s">
        <v>38</v>
      </c>
      <c r="C237" s="137" t="s">
        <v>54</v>
      </c>
      <c r="D237" s="137" t="s">
        <v>512</v>
      </c>
      <c r="E237" s="492"/>
      <c r="F237" s="109" t="s">
        <v>513</v>
      </c>
      <c r="G237" s="133">
        <v>3048</v>
      </c>
      <c r="H237" s="133">
        <f>665-64</f>
        <v>601</v>
      </c>
      <c r="I237" s="109"/>
      <c r="J237" s="109"/>
      <c r="K237" s="133"/>
      <c r="L237" s="109"/>
      <c r="M237" s="109"/>
      <c r="N237" s="109"/>
      <c r="O237" s="391"/>
      <c r="P237" s="138" t="s">
        <v>5</v>
      </c>
      <c r="Q237" s="139">
        <v>2180580</v>
      </c>
      <c r="R237" s="392">
        <v>0.16</v>
      </c>
      <c r="S237" s="393">
        <f t="shared" si="51"/>
        <v>348892.8</v>
      </c>
      <c r="T237" s="387">
        <f t="shared" si="52"/>
        <v>715.41338582677167</v>
      </c>
      <c r="U237" s="141">
        <f t="shared" si="53"/>
        <v>45668</v>
      </c>
      <c r="V237" s="142"/>
      <c r="W237" s="143"/>
      <c r="X237" s="476"/>
      <c r="Y237" s="135" t="str">
        <f t="shared" si="48"/>
        <v/>
      </c>
      <c r="Z237" s="426" t="str">
        <f t="shared" si="49"/>
        <v/>
      </c>
      <c r="AA237" s="136" t="str">
        <f t="shared" si="50"/>
        <v/>
      </c>
      <c r="AB237" s="185"/>
      <c r="AC237" s="185"/>
      <c r="AD237" s="185"/>
      <c r="AE237" s="185"/>
      <c r="AF237" s="185"/>
    </row>
    <row r="238" spans="1:32" s="115" customFormat="1" ht="16" customHeight="1">
      <c r="A238" s="273">
        <v>45593</v>
      </c>
      <c r="B238" s="109" t="s">
        <v>38</v>
      </c>
      <c r="C238" s="137" t="s">
        <v>294</v>
      </c>
      <c r="D238" s="137" t="s">
        <v>514</v>
      </c>
      <c r="E238" s="492"/>
      <c r="F238" s="109" t="s">
        <v>515</v>
      </c>
      <c r="G238" s="133">
        <v>4573</v>
      </c>
      <c r="H238" s="133">
        <f>898-40</f>
        <v>858</v>
      </c>
      <c r="I238" s="109"/>
      <c r="J238" s="109"/>
      <c r="K238" s="133"/>
      <c r="L238" s="109"/>
      <c r="M238" s="109"/>
      <c r="N238" s="109"/>
      <c r="O238" s="391"/>
      <c r="P238" s="138" t="s">
        <v>5</v>
      </c>
      <c r="Q238" s="139">
        <v>2633720</v>
      </c>
      <c r="R238" s="392">
        <v>0.09</v>
      </c>
      <c r="S238" s="393">
        <f t="shared" si="51"/>
        <v>237034.8</v>
      </c>
      <c r="T238" s="387">
        <f t="shared" si="52"/>
        <v>575.92827465558719</v>
      </c>
      <c r="U238" s="141">
        <f t="shared" si="53"/>
        <v>45653</v>
      </c>
      <c r="V238" s="142"/>
      <c r="W238" s="143"/>
      <c r="X238" s="476"/>
      <c r="Y238" s="135" t="str">
        <f t="shared" si="48"/>
        <v/>
      </c>
      <c r="Z238" s="426" t="str">
        <f t="shared" si="49"/>
        <v/>
      </c>
      <c r="AA238" s="136" t="str">
        <f t="shared" si="50"/>
        <v/>
      </c>
      <c r="AB238" s="185"/>
      <c r="AC238" s="185"/>
      <c r="AD238" s="185"/>
      <c r="AE238" s="185"/>
      <c r="AF238" s="185"/>
    </row>
    <row r="239" spans="1:32" s="115" customFormat="1" ht="16" customHeight="1">
      <c r="A239" s="273">
        <v>45706</v>
      </c>
      <c r="B239" s="109" t="s">
        <v>38</v>
      </c>
      <c r="C239" s="137" t="s">
        <v>54</v>
      </c>
      <c r="D239" s="137" t="s">
        <v>516</v>
      </c>
      <c r="E239" s="492"/>
      <c r="F239" s="109" t="s">
        <v>517</v>
      </c>
      <c r="G239" s="133">
        <v>4987</v>
      </c>
      <c r="H239" s="133">
        <f>1078-71</f>
        <v>1007</v>
      </c>
      <c r="I239" s="109"/>
      <c r="J239" s="109"/>
      <c r="K239" s="133"/>
      <c r="L239" s="109"/>
      <c r="M239" s="109"/>
      <c r="N239" s="109"/>
      <c r="O239" s="391"/>
      <c r="P239" s="138" t="s">
        <v>7</v>
      </c>
      <c r="Q239" s="139">
        <v>2774140</v>
      </c>
      <c r="R239" s="392">
        <v>0.12</v>
      </c>
      <c r="S239" s="393">
        <f t="shared" si="51"/>
        <v>332896.8</v>
      </c>
      <c r="T239" s="387">
        <f t="shared" si="52"/>
        <v>556.27431321435733</v>
      </c>
      <c r="U239" s="141">
        <f t="shared" si="53"/>
        <v>45766</v>
      </c>
      <c r="V239" s="142"/>
      <c r="W239" s="143"/>
      <c r="X239" s="476"/>
      <c r="Y239" s="135" t="str">
        <f t="shared" si="48"/>
        <v>x</v>
      </c>
      <c r="Z239" s="426" t="str">
        <f t="shared" si="49"/>
        <v>x</v>
      </c>
      <c r="AA239" s="136" t="str">
        <f t="shared" si="50"/>
        <v/>
      </c>
      <c r="AB239" s="185"/>
      <c r="AC239" s="185"/>
      <c r="AD239" s="185"/>
      <c r="AE239" s="185"/>
      <c r="AF239" s="185"/>
    </row>
    <row r="240" spans="1:32" s="115" customFormat="1" ht="16" customHeight="1">
      <c r="A240" s="273"/>
      <c r="B240" s="109" t="s">
        <v>38</v>
      </c>
      <c r="C240" s="137" t="s">
        <v>54</v>
      </c>
      <c r="D240" s="137" t="s">
        <v>518</v>
      </c>
      <c r="E240" s="492">
        <v>45611</v>
      </c>
      <c r="F240" s="109"/>
      <c r="G240" s="133"/>
      <c r="H240" s="133"/>
      <c r="I240" s="109"/>
      <c r="J240" s="109"/>
      <c r="K240" s="133"/>
      <c r="L240" s="109"/>
      <c r="M240" s="109"/>
      <c r="N240" s="109"/>
      <c r="O240" s="391"/>
      <c r="P240" s="138" t="s">
        <v>7</v>
      </c>
      <c r="Q240" s="139"/>
      <c r="R240" s="392"/>
      <c r="S240" s="393"/>
      <c r="T240" s="387"/>
      <c r="U240" s="141" t="str">
        <f t="shared" si="53"/>
        <v/>
      </c>
      <c r="V240" s="142"/>
      <c r="W240" s="143" t="s">
        <v>519</v>
      </c>
      <c r="X240" s="476"/>
      <c r="Y240" s="135" t="str">
        <f t="shared" si="48"/>
        <v>x</v>
      </c>
      <c r="Z240" s="426" t="str">
        <f t="shared" si="49"/>
        <v>x</v>
      </c>
      <c r="AA240" s="136" t="str">
        <f t="shared" si="50"/>
        <v/>
      </c>
      <c r="AB240" s="185"/>
      <c r="AC240" s="185"/>
      <c r="AD240" s="185"/>
      <c r="AE240" s="185"/>
      <c r="AF240" s="185"/>
    </row>
    <row r="241" spans="1:32" s="115" customFormat="1" ht="16" customHeight="1">
      <c r="A241" s="273">
        <v>45603</v>
      </c>
      <c r="B241" s="109" t="s">
        <v>38</v>
      </c>
      <c r="C241" s="137" t="s">
        <v>54</v>
      </c>
      <c r="D241" s="137" t="s">
        <v>520</v>
      </c>
      <c r="E241" s="492"/>
      <c r="F241" s="109" t="s">
        <v>50</v>
      </c>
      <c r="G241" s="133">
        <v>4896</v>
      </c>
      <c r="H241" s="133">
        <f>907-74</f>
        <v>833</v>
      </c>
      <c r="I241" s="109"/>
      <c r="J241" s="109"/>
      <c r="K241" s="133"/>
      <c r="L241" s="109"/>
      <c r="M241" s="109"/>
      <c r="N241" s="109"/>
      <c r="O241" s="391"/>
      <c r="P241" s="138" t="s">
        <v>5</v>
      </c>
      <c r="Q241" s="139">
        <v>2949700</v>
      </c>
      <c r="R241" s="392">
        <v>0.16</v>
      </c>
      <c r="S241" s="393">
        <f t="shared" ref="S241:S253" si="54">Q241*R241</f>
        <v>471952</v>
      </c>
      <c r="T241" s="387">
        <f t="shared" ref="T241:T253" si="55">Q241/G241</f>
        <v>602.47140522875816</v>
      </c>
      <c r="U241" s="141">
        <f t="shared" si="53"/>
        <v>45663</v>
      </c>
      <c r="V241" s="142"/>
      <c r="W241" s="143"/>
      <c r="X241" s="476"/>
      <c r="Y241" s="135" t="str">
        <f t="shared" si="48"/>
        <v/>
      </c>
      <c r="Z241" s="426" t="str">
        <f t="shared" si="49"/>
        <v/>
      </c>
      <c r="AA241" s="136" t="str">
        <f t="shared" si="50"/>
        <v/>
      </c>
      <c r="AB241" s="185"/>
      <c r="AC241" s="185"/>
      <c r="AD241" s="185"/>
      <c r="AE241" s="185"/>
      <c r="AF241" s="185"/>
    </row>
    <row r="242" spans="1:32" s="115" customFormat="1" ht="16" customHeight="1">
      <c r="A242" s="273">
        <v>45603</v>
      </c>
      <c r="B242" s="109" t="s">
        <v>38</v>
      </c>
      <c r="C242" s="137" t="s">
        <v>54</v>
      </c>
      <c r="D242" s="137" t="s">
        <v>521</v>
      </c>
      <c r="E242" s="492"/>
      <c r="F242" s="109" t="s">
        <v>101</v>
      </c>
      <c r="G242" s="133">
        <v>6784</v>
      </c>
      <c r="H242" s="133">
        <f>1461-170</f>
        <v>1291</v>
      </c>
      <c r="I242" s="109"/>
      <c r="J242" s="109"/>
      <c r="K242" s="133"/>
      <c r="L242" s="109"/>
      <c r="M242" s="109"/>
      <c r="N242" s="109"/>
      <c r="O242" s="391"/>
      <c r="P242" s="138" t="s">
        <v>5</v>
      </c>
      <c r="Q242" s="139">
        <v>4459240</v>
      </c>
      <c r="R242" s="392">
        <v>0.16789999999999999</v>
      </c>
      <c r="S242" s="393">
        <f t="shared" si="54"/>
        <v>748706.39599999995</v>
      </c>
      <c r="T242" s="387">
        <f t="shared" si="55"/>
        <v>657.31721698113211</v>
      </c>
      <c r="U242" s="141">
        <f t="shared" si="53"/>
        <v>45663</v>
      </c>
      <c r="V242" s="142"/>
      <c r="W242" s="143"/>
      <c r="X242" s="476"/>
      <c r="Y242" s="135" t="str">
        <f t="shared" si="48"/>
        <v/>
      </c>
      <c r="Z242" s="426" t="str">
        <f t="shared" si="49"/>
        <v/>
      </c>
      <c r="AA242" s="136" t="str">
        <f t="shared" si="50"/>
        <v/>
      </c>
      <c r="AB242" s="185"/>
      <c r="AC242" s="185"/>
      <c r="AD242" s="185"/>
      <c r="AE242" s="185"/>
      <c r="AF242" s="185"/>
    </row>
    <row r="243" spans="1:32" s="115" customFormat="1" ht="16" customHeight="1">
      <c r="A243" s="273">
        <v>45608</v>
      </c>
      <c r="B243" s="109" t="s">
        <v>38</v>
      </c>
      <c r="C243" s="137" t="s">
        <v>54</v>
      </c>
      <c r="D243" s="137" t="s">
        <v>522</v>
      </c>
      <c r="E243" s="492"/>
      <c r="F243" s="109" t="s">
        <v>523</v>
      </c>
      <c r="G243" s="133">
        <v>4570</v>
      </c>
      <c r="H243" s="133">
        <v>884</v>
      </c>
      <c r="I243" s="109"/>
      <c r="J243" s="109"/>
      <c r="K243" s="133"/>
      <c r="L243" s="109"/>
      <c r="M243" s="109"/>
      <c r="N243" s="109"/>
      <c r="O243" s="391"/>
      <c r="P243" s="138" t="s">
        <v>5</v>
      </c>
      <c r="Q243" s="139">
        <v>2829050</v>
      </c>
      <c r="R243" s="392">
        <v>0.16450000000000001</v>
      </c>
      <c r="S243" s="393">
        <f t="shared" si="54"/>
        <v>465378.72500000003</v>
      </c>
      <c r="T243" s="387">
        <f t="shared" si="55"/>
        <v>619.04814004376362</v>
      </c>
      <c r="U243" s="141">
        <f t="shared" si="53"/>
        <v>45668</v>
      </c>
      <c r="V243" s="142"/>
      <c r="W243" s="143"/>
      <c r="X243" s="476"/>
      <c r="Y243" s="135" t="str">
        <f t="shared" si="48"/>
        <v/>
      </c>
      <c r="Z243" s="426" t="str">
        <f t="shared" si="49"/>
        <v/>
      </c>
      <c r="AA243" s="136" t="str">
        <f t="shared" si="50"/>
        <v/>
      </c>
      <c r="AB243" s="185"/>
      <c r="AC243" s="185"/>
      <c r="AD243" s="185"/>
      <c r="AE243" s="185"/>
      <c r="AF243" s="185"/>
    </row>
    <row r="244" spans="1:32" s="115" customFormat="1" ht="16" customHeight="1">
      <c r="A244" s="273">
        <v>45603</v>
      </c>
      <c r="B244" s="109" t="s">
        <v>38</v>
      </c>
      <c r="C244" s="137" t="s">
        <v>54</v>
      </c>
      <c r="D244" s="137" t="s">
        <v>524</v>
      </c>
      <c r="E244" s="492"/>
      <c r="F244" s="109" t="s">
        <v>83</v>
      </c>
      <c r="G244" s="133">
        <v>2372</v>
      </c>
      <c r="H244" s="133">
        <f>593-17</f>
        <v>576</v>
      </c>
      <c r="I244" s="109"/>
      <c r="J244" s="109"/>
      <c r="K244" s="133"/>
      <c r="L244" s="109"/>
      <c r="M244" s="109"/>
      <c r="N244" s="109"/>
      <c r="O244" s="391"/>
      <c r="P244" s="138" t="s">
        <v>5</v>
      </c>
      <c r="Q244" s="139">
        <v>1612820</v>
      </c>
      <c r="R244" s="392">
        <v>0.1948</v>
      </c>
      <c r="S244" s="393">
        <f t="shared" si="54"/>
        <v>314177.33600000001</v>
      </c>
      <c r="T244" s="387">
        <f t="shared" si="55"/>
        <v>679.94097807757169</v>
      </c>
      <c r="U244" s="141">
        <f t="shared" si="53"/>
        <v>45663</v>
      </c>
      <c r="V244" s="142"/>
      <c r="W244" s="143"/>
      <c r="X244" s="476"/>
      <c r="Y244" s="135" t="str">
        <f t="shared" si="48"/>
        <v/>
      </c>
      <c r="Z244" s="426" t="str">
        <f t="shared" si="49"/>
        <v/>
      </c>
      <c r="AA244" s="136" t="str">
        <f t="shared" si="50"/>
        <v/>
      </c>
      <c r="AB244" s="185"/>
      <c r="AC244" s="185"/>
      <c r="AD244" s="185"/>
      <c r="AE244" s="185"/>
      <c r="AF244" s="185"/>
    </row>
    <row r="245" spans="1:32" s="115" customFormat="1" ht="16" customHeight="1">
      <c r="A245" s="273">
        <v>45617</v>
      </c>
      <c r="B245" s="109" t="s">
        <v>38</v>
      </c>
      <c r="C245" s="137" t="s">
        <v>54</v>
      </c>
      <c r="D245" s="137" t="s">
        <v>525</v>
      </c>
      <c r="E245" s="492"/>
      <c r="F245" s="109" t="s">
        <v>46</v>
      </c>
      <c r="G245" s="133">
        <v>1263</v>
      </c>
      <c r="H245" s="133">
        <f>315-40</f>
        <v>275</v>
      </c>
      <c r="I245" s="109"/>
      <c r="J245" s="109"/>
      <c r="K245" s="133"/>
      <c r="L245" s="109"/>
      <c r="M245" s="109"/>
      <c r="N245" s="109"/>
      <c r="O245" s="391"/>
      <c r="P245" s="138" t="s">
        <v>5</v>
      </c>
      <c r="Q245" s="139">
        <v>868270</v>
      </c>
      <c r="R245" s="392">
        <v>0.12</v>
      </c>
      <c r="S245" s="393">
        <f t="shared" si="54"/>
        <v>104192.4</v>
      </c>
      <c r="T245" s="387">
        <f t="shared" si="55"/>
        <v>687.46634996041166</v>
      </c>
      <c r="U245" s="141">
        <f t="shared" si="53"/>
        <v>45677</v>
      </c>
      <c r="V245" s="142"/>
      <c r="W245" s="143"/>
      <c r="X245" s="476"/>
      <c r="Y245" s="135" t="str">
        <f t="shared" si="48"/>
        <v/>
      </c>
      <c r="Z245" s="426" t="str">
        <f t="shared" si="49"/>
        <v/>
      </c>
      <c r="AA245" s="136" t="str">
        <f t="shared" si="50"/>
        <v/>
      </c>
      <c r="AB245" s="185"/>
      <c r="AC245" s="185"/>
      <c r="AD245" s="185"/>
      <c r="AE245" s="185"/>
      <c r="AF245" s="185"/>
    </row>
    <row r="246" spans="1:32" s="115" customFormat="1" ht="16" customHeight="1">
      <c r="A246" s="273">
        <v>45608</v>
      </c>
      <c r="B246" s="109" t="s">
        <v>38</v>
      </c>
      <c r="C246" s="137" t="s">
        <v>54</v>
      </c>
      <c r="D246" s="137" t="s">
        <v>526</v>
      </c>
      <c r="E246" s="492"/>
      <c r="F246" s="109" t="s">
        <v>301</v>
      </c>
      <c r="G246" s="133">
        <v>3658</v>
      </c>
      <c r="H246" s="133">
        <f>843-59</f>
        <v>784</v>
      </c>
      <c r="I246" s="109"/>
      <c r="J246" s="109"/>
      <c r="K246" s="133"/>
      <c r="L246" s="109"/>
      <c r="M246" s="109"/>
      <c r="N246" s="109"/>
      <c r="O246" s="391"/>
      <c r="P246" s="138" t="s">
        <v>5</v>
      </c>
      <c r="Q246" s="139">
        <v>2477240</v>
      </c>
      <c r="R246" s="392">
        <v>0.16</v>
      </c>
      <c r="S246" s="393">
        <f t="shared" si="54"/>
        <v>396358.40000000002</v>
      </c>
      <c r="T246" s="387">
        <f t="shared" si="55"/>
        <v>677.21159103335151</v>
      </c>
      <c r="U246" s="141">
        <f t="shared" si="53"/>
        <v>45668</v>
      </c>
      <c r="V246" s="142"/>
      <c r="W246" s="143"/>
      <c r="X246" s="476"/>
      <c r="Y246" s="135" t="str">
        <f t="shared" si="48"/>
        <v/>
      </c>
      <c r="Z246" s="426" t="str">
        <f t="shared" si="49"/>
        <v/>
      </c>
      <c r="AA246" s="136" t="str">
        <f t="shared" si="50"/>
        <v/>
      </c>
      <c r="AB246" s="185"/>
      <c r="AC246" s="185"/>
      <c r="AD246" s="185"/>
      <c r="AE246" s="185"/>
      <c r="AF246" s="185"/>
    </row>
    <row r="247" spans="1:32" s="115" customFormat="1" ht="16" customHeight="1">
      <c r="A247" s="273">
        <v>45608</v>
      </c>
      <c r="B247" s="109" t="s">
        <v>38</v>
      </c>
      <c r="C247" s="137" t="s">
        <v>455</v>
      </c>
      <c r="D247" s="137" t="s">
        <v>527</v>
      </c>
      <c r="E247" s="492"/>
      <c r="F247" s="109"/>
      <c r="G247" s="133">
        <v>54</v>
      </c>
      <c r="H247" s="133">
        <f>50.8-11</f>
        <v>39.799999999999997</v>
      </c>
      <c r="I247" s="109"/>
      <c r="J247" s="109"/>
      <c r="K247" s="133"/>
      <c r="L247" s="109"/>
      <c r="M247" s="109"/>
      <c r="N247" s="109"/>
      <c r="O247" s="391"/>
      <c r="P247" s="138" t="s">
        <v>5</v>
      </c>
      <c r="Q247" s="139">
        <v>258920</v>
      </c>
      <c r="R247" s="392">
        <v>0.4</v>
      </c>
      <c r="S247" s="393">
        <f t="shared" si="54"/>
        <v>103568</v>
      </c>
      <c r="T247" s="387">
        <f t="shared" si="55"/>
        <v>4794.8148148148148</v>
      </c>
      <c r="U247" s="141">
        <f t="shared" si="53"/>
        <v>45668</v>
      </c>
      <c r="V247" s="142"/>
      <c r="W247" s="143"/>
      <c r="X247" s="476"/>
      <c r="Y247" s="135" t="str">
        <f t="shared" si="48"/>
        <v/>
      </c>
      <c r="Z247" s="426" t="str">
        <f t="shared" si="49"/>
        <v/>
      </c>
      <c r="AA247" s="136" t="str">
        <f t="shared" si="50"/>
        <v/>
      </c>
      <c r="AB247" s="185"/>
      <c r="AC247" s="185"/>
      <c r="AD247" s="185"/>
      <c r="AE247" s="185"/>
      <c r="AF247" s="185"/>
    </row>
    <row r="248" spans="1:32" s="115" customFormat="1" ht="16" customHeight="1">
      <c r="A248" s="273">
        <v>45706</v>
      </c>
      <c r="B248" s="109" t="s">
        <v>38</v>
      </c>
      <c r="C248" s="137" t="s">
        <v>54</v>
      </c>
      <c r="D248" s="137" t="s">
        <v>528</v>
      </c>
      <c r="E248" s="492"/>
      <c r="F248" s="109" t="s">
        <v>301</v>
      </c>
      <c r="G248" s="133">
        <v>4213</v>
      </c>
      <c r="H248" s="133">
        <f>1023-79</f>
        <v>944</v>
      </c>
      <c r="I248" s="109"/>
      <c r="J248" s="109"/>
      <c r="K248" s="133"/>
      <c r="L248" s="109"/>
      <c r="M248" s="109"/>
      <c r="N248" s="109"/>
      <c r="O248" s="391"/>
      <c r="P248" s="138" t="s">
        <v>3</v>
      </c>
      <c r="Q248" s="139">
        <v>2883790</v>
      </c>
      <c r="R248" s="392">
        <v>0.15</v>
      </c>
      <c r="S248" s="393">
        <f t="shared" si="54"/>
        <v>432568.5</v>
      </c>
      <c r="T248" s="387">
        <f t="shared" si="55"/>
        <v>684.49798243531927</v>
      </c>
      <c r="U248" s="141">
        <f t="shared" si="53"/>
        <v>45766</v>
      </c>
      <c r="V248" s="142"/>
      <c r="W248" s="143"/>
      <c r="X248" s="476"/>
      <c r="Y248" s="135" t="str">
        <f t="shared" si="48"/>
        <v>x</v>
      </c>
      <c r="Z248" s="426" t="str">
        <f t="shared" si="49"/>
        <v/>
      </c>
      <c r="AA248" s="136" t="str">
        <f t="shared" si="50"/>
        <v/>
      </c>
      <c r="AB248" s="185"/>
      <c r="AC248" s="185"/>
      <c r="AD248" s="185"/>
      <c r="AE248" s="185"/>
      <c r="AF248" s="185"/>
    </row>
    <row r="249" spans="1:32" s="115" customFormat="1" ht="16" customHeight="1">
      <c r="A249" s="273">
        <v>45616</v>
      </c>
      <c r="B249" s="109" t="s">
        <v>38</v>
      </c>
      <c r="C249" s="137" t="s">
        <v>54</v>
      </c>
      <c r="D249" s="137" t="s">
        <v>529</v>
      </c>
      <c r="E249" s="492"/>
      <c r="F249" s="109" t="s">
        <v>530</v>
      </c>
      <c r="G249" s="133">
        <v>4252</v>
      </c>
      <c r="H249" s="133">
        <f>1023-107</f>
        <v>916</v>
      </c>
      <c r="I249" s="109"/>
      <c r="J249" s="109"/>
      <c r="K249" s="133"/>
      <c r="L249" s="109"/>
      <c r="M249" s="109"/>
      <c r="N249" s="109"/>
      <c r="O249" s="391"/>
      <c r="P249" s="138" t="s">
        <v>7</v>
      </c>
      <c r="Q249" s="139">
        <v>2814450</v>
      </c>
      <c r="R249" s="392">
        <v>0.12</v>
      </c>
      <c r="S249" s="393">
        <f t="shared" si="54"/>
        <v>337734</v>
      </c>
      <c r="T249" s="387">
        <f t="shared" si="55"/>
        <v>661.91204139228603</v>
      </c>
      <c r="U249" s="141">
        <f t="shared" si="53"/>
        <v>45676</v>
      </c>
      <c r="V249" s="142"/>
      <c r="W249" s="143"/>
      <c r="X249" s="476"/>
      <c r="Y249" s="135" t="str">
        <f t="shared" si="48"/>
        <v>x</v>
      </c>
      <c r="Z249" s="426" t="str">
        <f t="shared" si="49"/>
        <v>x</v>
      </c>
      <c r="AA249" s="136" t="str">
        <f t="shared" si="50"/>
        <v/>
      </c>
      <c r="AB249" s="185"/>
      <c r="AC249" s="185"/>
      <c r="AD249" s="185"/>
      <c r="AE249" s="185"/>
      <c r="AF249" s="185"/>
    </row>
    <row r="250" spans="1:32" s="115" customFormat="1" ht="16" customHeight="1">
      <c r="A250" s="273">
        <v>45617</v>
      </c>
      <c r="B250" s="109" t="s">
        <v>38</v>
      </c>
      <c r="C250" s="137" t="s">
        <v>54</v>
      </c>
      <c r="D250" s="137" t="s">
        <v>531</v>
      </c>
      <c r="E250" s="492"/>
      <c r="F250" s="109" t="s">
        <v>532</v>
      </c>
      <c r="G250" s="133">
        <v>698</v>
      </c>
      <c r="H250" s="133">
        <f>203-27</f>
        <v>176</v>
      </c>
      <c r="I250" s="109"/>
      <c r="J250" s="109"/>
      <c r="K250" s="133"/>
      <c r="L250" s="109"/>
      <c r="M250" s="109"/>
      <c r="N250" s="109"/>
      <c r="O250" s="391"/>
      <c r="P250" s="138" t="s">
        <v>5</v>
      </c>
      <c r="Q250" s="139">
        <v>562410</v>
      </c>
      <c r="R250" s="392">
        <v>0.15</v>
      </c>
      <c r="S250" s="393">
        <f t="shared" si="54"/>
        <v>84361.5</v>
      </c>
      <c r="T250" s="387">
        <f t="shared" si="55"/>
        <v>805.7449856733524</v>
      </c>
      <c r="U250" s="141">
        <f t="shared" si="53"/>
        <v>45677</v>
      </c>
      <c r="V250" s="142"/>
      <c r="W250" s="143"/>
      <c r="X250" s="476"/>
      <c r="Y250" s="135" t="str">
        <f t="shared" si="48"/>
        <v/>
      </c>
      <c r="Z250" s="426" t="str">
        <f t="shared" si="49"/>
        <v/>
      </c>
      <c r="AA250" s="136" t="str">
        <f t="shared" si="50"/>
        <v/>
      </c>
      <c r="AB250" s="185"/>
      <c r="AC250" s="185"/>
      <c r="AD250" s="185"/>
      <c r="AE250" s="185"/>
      <c r="AF250" s="185"/>
    </row>
    <row r="251" spans="1:32" s="115" customFormat="1" ht="16" customHeight="1">
      <c r="A251" s="273">
        <v>45615</v>
      </c>
      <c r="B251" s="109" t="s">
        <v>38</v>
      </c>
      <c r="C251" s="137" t="s">
        <v>336</v>
      </c>
      <c r="D251" s="137" t="s">
        <v>533</v>
      </c>
      <c r="E251" s="492"/>
      <c r="F251" s="109" t="s">
        <v>65</v>
      </c>
      <c r="G251" s="133">
        <v>260</v>
      </c>
      <c r="H251" s="133">
        <f>92-14</f>
        <v>78</v>
      </c>
      <c r="I251" s="109"/>
      <c r="J251" s="109" t="s">
        <v>471</v>
      </c>
      <c r="K251" s="133"/>
      <c r="L251" s="109"/>
      <c r="M251" s="109"/>
      <c r="N251" s="109"/>
      <c r="O251" s="391"/>
      <c r="P251" s="138" t="s">
        <v>5</v>
      </c>
      <c r="Q251" s="139">
        <v>360620</v>
      </c>
      <c r="R251" s="392">
        <v>0.18</v>
      </c>
      <c r="S251" s="393">
        <f t="shared" si="54"/>
        <v>64911.6</v>
      </c>
      <c r="T251" s="387">
        <f t="shared" si="55"/>
        <v>1387</v>
      </c>
      <c r="U251" s="141">
        <f t="shared" si="53"/>
        <v>45675</v>
      </c>
      <c r="V251" s="142"/>
      <c r="W251" s="143"/>
      <c r="X251" s="476"/>
      <c r="Y251" s="135" t="str">
        <f t="shared" si="48"/>
        <v/>
      </c>
      <c r="Z251" s="426" t="str">
        <f t="shared" si="49"/>
        <v/>
      </c>
      <c r="AA251" s="136" t="str">
        <f t="shared" si="50"/>
        <v/>
      </c>
      <c r="AB251" s="185"/>
      <c r="AC251" s="185"/>
      <c r="AD251" s="185"/>
      <c r="AE251" s="185"/>
      <c r="AF251" s="185"/>
    </row>
    <row r="252" spans="1:32" s="115" customFormat="1" ht="16" customHeight="1">
      <c r="A252" s="273">
        <v>45617</v>
      </c>
      <c r="B252" s="109" t="s">
        <v>38</v>
      </c>
      <c r="C252" s="137" t="s">
        <v>54</v>
      </c>
      <c r="D252" s="137" t="s">
        <v>534</v>
      </c>
      <c r="E252" s="492"/>
      <c r="F252" s="109" t="s">
        <v>191</v>
      </c>
      <c r="G252" s="133">
        <v>958</v>
      </c>
      <c r="H252" s="133">
        <f>272-37</f>
        <v>235</v>
      </c>
      <c r="I252" s="109"/>
      <c r="J252" s="109"/>
      <c r="K252" s="133"/>
      <c r="L252" s="109"/>
      <c r="M252" s="109"/>
      <c r="N252" s="109"/>
      <c r="O252" s="391"/>
      <c r="P252" s="138" t="s">
        <v>5</v>
      </c>
      <c r="Q252" s="139">
        <v>737790</v>
      </c>
      <c r="R252" s="392">
        <v>0.15</v>
      </c>
      <c r="S252" s="393">
        <f t="shared" si="54"/>
        <v>110668.5</v>
      </c>
      <c r="T252" s="387">
        <f t="shared" si="55"/>
        <v>770.13569937369516</v>
      </c>
      <c r="U252" s="141">
        <f t="shared" si="53"/>
        <v>45677</v>
      </c>
      <c r="V252" s="142"/>
      <c r="W252" s="143"/>
      <c r="X252" s="476"/>
      <c r="Y252" s="135" t="str">
        <f t="shared" si="48"/>
        <v/>
      </c>
      <c r="Z252" s="426" t="str">
        <f t="shared" si="49"/>
        <v/>
      </c>
      <c r="AA252" s="136" t="str">
        <f t="shared" si="50"/>
        <v/>
      </c>
      <c r="AB252" s="185"/>
      <c r="AC252" s="185"/>
      <c r="AD252" s="185"/>
      <c r="AE252" s="185"/>
      <c r="AF252" s="185"/>
    </row>
    <row r="253" spans="1:32" s="115" customFormat="1" ht="16" customHeight="1">
      <c r="A253" s="273">
        <v>45618</v>
      </c>
      <c r="B253" s="109" t="s">
        <v>38</v>
      </c>
      <c r="C253" s="137" t="s">
        <v>54</v>
      </c>
      <c r="D253" s="137" t="s">
        <v>535</v>
      </c>
      <c r="E253" s="492"/>
      <c r="F253" s="109" t="s">
        <v>83</v>
      </c>
      <c r="G253" s="133">
        <v>445</v>
      </c>
      <c r="H253" s="133">
        <f>140-21</f>
        <v>119</v>
      </c>
      <c r="I253" s="109"/>
      <c r="J253" s="109"/>
      <c r="K253" s="133"/>
      <c r="L253" s="109"/>
      <c r="M253" s="109"/>
      <c r="N253" s="109"/>
      <c r="O253" s="391"/>
      <c r="P253" s="138" t="s">
        <v>5</v>
      </c>
      <c r="Q253" s="139">
        <v>388920</v>
      </c>
      <c r="R253" s="392">
        <v>0.16</v>
      </c>
      <c r="S253" s="393">
        <f t="shared" si="54"/>
        <v>62227.200000000004</v>
      </c>
      <c r="T253" s="387">
        <f t="shared" si="55"/>
        <v>873.97752808988764</v>
      </c>
      <c r="U253" s="141">
        <f t="shared" si="53"/>
        <v>45678</v>
      </c>
      <c r="V253" s="142"/>
      <c r="W253" s="143"/>
      <c r="X253" s="476"/>
      <c r="Y253" s="135" t="str">
        <f t="shared" si="48"/>
        <v/>
      </c>
      <c r="Z253" s="426" t="str">
        <f t="shared" si="49"/>
        <v/>
      </c>
      <c r="AA253" s="136" t="str">
        <f t="shared" si="50"/>
        <v/>
      </c>
      <c r="AB253" s="185"/>
      <c r="AC253" s="185"/>
      <c r="AD253" s="185"/>
      <c r="AE253" s="185"/>
      <c r="AF253" s="185"/>
    </row>
    <row r="254" spans="1:32" s="115" customFormat="1" ht="16" customHeight="1">
      <c r="A254" s="273"/>
      <c r="B254" s="109" t="s">
        <v>38</v>
      </c>
      <c r="C254" s="137" t="s">
        <v>54</v>
      </c>
      <c r="D254" s="137" t="s">
        <v>536</v>
      </c>
      <c r="E254" s="492"/>
      <c r="F254" s="109" t="s">
        <v>537</v>
      </c>
      <c r="G254" s="133">
        <v>23280</v>
      </c>
      <c r="H254" s="133">
        <f>G254/7</f>
        <v>3325.7142857142858</v>
      </c>
      <c r="I254" s="109"/>
      <c r="J254" s="109"/>
      <c r="K254" s="133"/>
      <c r="L254" s="109"/>
      <c r="M254" s="109"/>
      <c r="N254" s="109"/>
      <c r="O254" s="391"/>
      <c r="P254" s="138" t="s">
        <v>43</v>
      </c>
      <c r="Q254" s="139"/>
      <c r="R254" s="392"/>
      <c r="S254" s="393"/>
      <c r="T254" s="387"/>
      <c r="U254" s="141" t="str">
        <f t="shared" si="53"/>
        <v/>
      </c>
      <c r="V254" s="142"/>
      <c r="W254" s="143" t="s">
        <v>538</v>
      </c>
      <c r="X254" s="476"/>
      <c r="Y254" s="135" t="str">
        <f t="shared" si="48"/>
        <v/>
      </c>
      <c r="Z254" s="426" t="str">
        <f t="shared" si="49"/>
        <v/>
      </c>
      <c r="AA254" s="136" t="str">
        <f t="shared" si="50"/>
        <v/>
      </c>
      <c r="AB254" s="185"/>
      <c r="AC254" s="185"/>
      <c r="AD254" s="185"/>
      <c r="AE254" s="185"/>
      <c r="AF254" s="185"/>
    </row>
    <row r="255" spans="1:32" s="115" customFormat="1" ht="16" customHeight="1">
      <c r="A255" s="273">
        <v>45628</v>
      </c>
      <c r="B255" s="109" t="s">
        <v>38</v>
      </c>
      <c r="C255" s="137" t="s">
        <v>54</v>
      </c>
      <c r="D255" s="137" t="s">
        <v>539</v>
      </c>
      <c r="E255" s="492"/>
      <c r="F255" s="109" t="s">
        <v>540</v>
      </c>
      <c r="G255" s="133">
        <v>2683</v>
      </c>
      <c r="H255" s="133">
        <f>510-44</f>
        <v>466</v>
      </c>
      <c r="I255" s="109"/>
      <c r="J255" s="109"/>
      <c r="K255" s="133"/>
      <c r="L255" s="109"/>
      <c r="M255" s="109"/>
      <c r="N255" s="109"/>
      <c r="O255" s="391"/>
      <c r="P255" s="138" t="s">
        <v>5</v>
      </c>
      <c r="Q255" s="139">
        <v>1594830</v>
      </c>
      <c r="R255" s="392">
        <v>0.12</v>
      </c>
      <c r="S255" s="393">
        <f>Q255*R255</f>
        <v>191379.6</v>
      </c>
      <c r="T255" s="387">
        <f>Q255/G255</f>
        <v>594.42042489750281</v>
      </c>
      <c r="U255" s="141">
        <f t="shared" si="53"/>
        <v>45688</v>
      </c>
      <c r="V255" s="142"/>
      <c r="W255" s="143"/>
      <c r="X255" s="476"/>
      <c r="Y255" s="135" t="str">
        <f t="shared" si="48"/>
        <v/>
      </c>
      <c r="Z255" s="426" t="str">
        <f t="shared" si="49"/>
        <v/>
      </c>
      <c r="AA255" s="136" t="str">
        <f t="shared" si="50"/>
        <v/>
      </c>
      <c r="AB255" s="185"/>
      <c r="AC255" s="185"/>
      <c r="AD255" s="185"/>
      <c r="AE255" s="185"/>
      <c r="AF255" s="185"/>
    </row>
    <row r="256" spans="1:32" s="115" customFormat="1" ht="16" customHeight="1">
      <c r="A256" s="273">
        <v>45630</v>
      </c>
      <c r="B256" s="109" t="s">
        <v>38</v>
      </c>
      <c r="C256" s="137" t="s">
        <v>294</v>
      </c>
      <c r="D256" s="137" t="s">
        <v>541</v>
      </c>
      <c r="E256" s="492"/>
      <c r="F256" s="109" t="s">
        <v>542</v>
      </c>
      <c r="G256" s="133">
        <v>1168</v>
      </c>
      <c r="H256" s="133">
        <f>283-39</f>
        <v>244</v>
      </c>
      <c r="I256" s="109"/>
      <c r="J256" s="109"/>
      <c r="K256" s="133"/>
      <c r="L256" s="109"/>
      <c r="M256" s="109"/>
      <c r="N256" s="109"/>
      <c r="O256" s="391"/>
      <c r="P256" s="138" t="s">
        <v>5</v>
      </c>
      <c r="Q256" s="139">
        <v>1097220</v>
      </c>
      <c r="R256" s="392">
        <v>0.12</v>
      </c>
      <c r="S256" s="393">
        <f>Q256*R256</f>
        <v>131666.4</v>
      </c>
      <c r="T256" s="387">
        <f>Q256/G256</f>
        <v>939.40068493150682</v>
      </c>
      <c r="U256" s="141">
        <f t="shared" si="53"/>
        <v>45690</v>
      </c>
      <c r="V256" s="142"/>
      <c r="W256" s="143"/>
      <c r="X256" s="476"/>
      <c r="Y256" s="135" t="str">
        <f t="shared" si="48"/>
        <v/>
      </c>
      <c r="Z256" s="426" t="str">
        <f t="shared" si="49"/>
        <v/>
      </c>
      <c r="AA256" s="136" t="str">
        <f t="shared" si="50"/>
        <v/>
      </c>
      <c r="AB256" s="185"/>
      <c r="AC256" s="185"/>
      <c r="AD256" s="185"/>
      <c r="AE256" s="185"/>
      <c r="AF256" s="185"/>
    </row>
    <row r="257" spans="1:32" s="115" customFormat="1" ht="16" customHeight="1">
      <c r="A257" s="273"/>
      <c r="B257" s="109" t="s">
        <v>38</v>
      </c>
      <c r="C257" s="137" t="s">
        <v>54</v>
      </c>
      <c r="D257" s="137" t="s">
        <v>543</v>
      </c>
      <c r="E257" s="492" t="s">
        <v>422</v>
      </c>
      <c r="F257" s="109"/>
      <c r="G257" s="133"/>
      <c r="H257" s="133"/>
      <c r="I257" s="109"/>
      <c r="J257" s="109"/>
      <c r="K257" s="133"/>
      <c r="L257" s="109"/>
      <c r="M257" s="109"/>
      <c r="N257" s="109"/>
      <c r="O257" s="391"/>
      <c r="P257" s="138" t="s">
        <v>80</v>
      </c>
      <c r="Q257" s="139"/>
      <c r="R257" s="392"/>
      <c r="S257" s="393"/>
      <c r="T257" s="387"/>
      <c r="U257" s="141" t="str">
        <f t="shared" si="53"/>
        <v/>
      </c>
      <c r="V257" s="142"/>
      <c r="W257" s="143"/>
      <c r="X257" s="476"/>
      <c r="Y257" s="135" t="str">
        <f t="shared" si="48"/>
        <v/>
      </c>
      <c r="Z257" s="426" t="str">
        <f t="shared" si="49"/>
        <v/>
      </c>
      <c r="AA257" s="136" t="str">
        <f t="shared" si="50"/>
        <v/>
      </c>
      <c r="AB257" s="185"/>
      <c r="AC257" s="185"/>
      <c r="AD257" s="185"/>
      <c r="AE257" s="185"/>
      <c r="AF257" s="185"/>
    </row>
    <row r="258" spans="1:32" s="115" customFormat="1" ht="16" customHeight="1">
      <c r="A258" s="273">
        <v>45628</v>
      </c>
      <c r="B258" s="109" t="s">
        <v>38</v>
      </c>
      <c r="C258" s="137" t="s">
        <v>336</v>
      </c>
      <c r="D258" s="137" t="s">
        <v>544</v>
      </c>
      <c r="E258" s="492"/>
      <c r="F258" s="109" t="s">
        <v>545</v>
      </c>
      <c r="G258" s="133">
        <v>660</v>
      </c>
      <c r="H258" s="133"/>
      <c r="I258" s="109"/>
      <c r="J258" s="109"/>
      <c r="K258" s="133"/>
      <c r="L258" s="109"/>
      <c r="M258" s="109"/>
      <c r="N258" s="109"/>
      <c r="O258" s="391"/>
      <c r="P258" s="138" t="s">
        <v>43</v>
      </c>
      <c r="Q258" s="139">
        <f>G258*750</f>
        <v>495000</v>
      </c>
      <c r="R258" s="392"/>
      <c r="S258" s="393"/>
      <c r="T258" s="387"/>
      <c r="U258" s="141">
        <f t="shared" si="53"/>
        <v>45688</v>
      </c>
      <c r="V258" s="142"/>
      <c r="W258" s="143" t="s">
        <v>546</v>
      </c>
      <c r="X258" s="476"/>
      <c r="Y258" s="135" t="str">
        <f t="shared" si="48"/>
        <v/>
      </c>
      <c r="Z258" s="426" t="str">
        <f t="shared" si="49"/>
        <v/>
      </c>
      <c r="AA258" s="136" t="str">
        <f t="shared" si="50"/>
        <v/>
      </c>
      <c r="AB258" s="185"/>
      <c r="AC258" s="185"/>
      <c r="AD258" s="185"/>
      <c r="AE258" s="185"/>
      <c r="AF258" s="185"/>
    </row>
    <row r="259" spans="1:32" s="115" customFormat="1" ht="16" customHeight="1">
      <c r="A259" s="273">
        <v>45637</v>
      </c>
      <c r="B259" s="109" t="s">
        <v>38</v>
      </c>
      <c r="C259" s="137" t="s">
        <v>693</v>
      </c>
      <c r="D259" s="137" t="s">
        <v>547</v>
      </c>
      <c r="E259" s="492"/>
      <c r="F259" s="109" t="s">
        <v>548</v>
      </c>
      <c r="G259" s="133">
        <v>2325</v>
      </c>
      <c r="H259" s="133">
        <f>161+186</f>
        <v>347</v>
      </c>
      <c r="I259" s="109"/>
      <c r="J259" s="109"/>
      <c r="K259" s="133"/>
      <c r="L259" s="109"/>
      <c r="M259" s="109"/>
      <c r="N259" s="109"/>
      <c r="O259" s="391"/>
      <c r="P259" s="138" t="s">
        <v>5</v>
      </c>
      <c r="Q259" s="139">
        <v>1376590</v>
      </c>
      <c r="R259" s="392">
        <v>0.19</v>
      </c>
      <c r="S259" s="393">
        <f>Q259*R259</f>
        <v>261552.1</v>
      </c>
      <c r="T259" s="387">
        <f>Q259/G259</f>
        <v>592.08172043010757</v>
      </c>
      <c r="U259" s="141">
        <f t="shared" si="53"/>
        <v>45697</v>
      </c>
      <c r="V259" s="142"/>
      <c r="W259" s="143"/>
      <c r="X259" s="476">
        <v>5</v>
      </c>
      <c r="Y259" s="135" t="str">
        <f t="shared" si="48"/>
        <v/>
      </c>
      <c r="Z259" s="426" t="str">
        <f t="shared" si="49"/>
        <v/>
      </c>
      <c r="AA259" s="136" t="str">
        <f t="shared" si="50"/>
        <v/>
      </c>
      <c r="AB259" s="185"/>
      <c r="AC259" s="185"/>
      <c r="AD259" s="185"/>
      <c r="AE259" s="185"/>
      <c r="AF259" s="185"/>
    </row>
    <row r="260" spans="1:32" s="115" customFormat="1" ht="16" customHeight="1">
      <c r="A260" s="273" t="s">
        <v>549</v>
      </c>
      <c r="B260" s="109" t="s">
        <v>38</v>
      </c>
      <c r="C260" s="137" t="s">
        <v>54</v>
      </c>
      <c r="D260" s="137" t="s">
        <v>550</v>
      </c>
      <c r="E260" s="492">
        <v>45667</v>
      </c>
      <c r="F260" s="109" t="s">
        <v>301</v>
      </c>
      <c r="G260" s="133"/>
      <c r="H260" s="133"/>
      <c r="I260" s="109"/>
      <c r="J260" s="109"/>
      <c r="K260" s="133"/>
      <c r="L260" s="109"/>
      <c r="M260" s="109"/>
      <c r="N260" s="109"/>
      <c r="O260" s="391"/>
      <c r="P260" s="138" t="s">
        <v>43</v>
      </c>
      <c r="Q260" s="139"/>
      <c r="R260" s="392"/>
      <c r="S260" s="393"/>
      <c r="T260" s="387"/>
      <c r="U260" s="141" t="e">
        <f t="shared" si="53"/>
        <v>#VALUE!</v>
      </c>
      <c r="V260" s="142"/>
      <c r="W260" s="143"/>
      <c r="X260" s="476"/>
      <c r="Y260" s="135"/>
      <c r="Z260" s="426"/>
      <c r="AA260" s="136"/>
      <c r="AB260" s="185"/>
      <c r="AC260" s="185"/>
      <c r="AD260" s="185"/>
      <c r="AE260" s="185"/>
      <c r="AF260" s="185"/>
    </row>
    <row r="261" spans="1:32" s="115" customFormat="1" ht="16" customHeight="1">
      <c r="A261" s="273">
        <v>45637</v>
      </c>
      <c r="B261" s="109" t="s">
        <v>38</v>
      </c>
      <c r="C261" s="137" t="s">
        <v>54</v>
      </c>
      <c r="D261" s="137" t="s">
        <v>551</v>
      </c>
      <c r="E261" s="492"/>
      <c r="F261" s="109" t="s">
        <v>552</v>
      </c>
      <c r="G261" s="133">
        <v>1469</v>
      </c>
      <c r="H261" s="133">
        <f>373-36</f>
        <v>337</v>
      </c>
      <c r="I261" s="109"/>
      <c r="J261" s="109"/>
      <c r="K261" s="133"/>
      <c r="L261" s="109"/>
      <c r="M261" s="109"/>
      <c r="N261" s="109"/>
      <c r="O261" s="391"/>
      <c r="P261" s="138" t="s">
        <v>5</v>
      </c>
      <c r="Q261" s="139">
        <v>1098190</v>
      </c>
      <c r="R261" s="392">
        <v>0.16</v>
      </c>
      <c r="S261" s="393">
        <f t="shared" ref="S261:S267" si="56">Q261*R261</f>
        <v>175710.4</v>
      </c>
      <c r="T261" s="387">
        <f t="shared" ref="T261:T267" si="57">Q261/G261</f>
        <v>747.57658270932609</v>
      </c>
      <c r="U261" s="141">
        <f t="shared" si="53"/>
        <v>45697</v>
      </c>
      <c r="V261" s="142"/>
      <c r="W261" s="143"/>
      <c r="X261" s="476"/>
      <c r="Y261" s="135" t="str">
        <f>IF(OR(P261="Ordre",P261="Ferdig"),"x","")</f>
        <v/>
      </c>
      <c r="Z261" s="426" t="str">
        <f>IF(P261="Ferdig","x","")</f>
        <v/>
      </c>
      <c r="AA261" s="136" t="str">
        <f>IF(P261="Tapt","x","")</f>
        <v/>
      </c>
      <c r="AB261" s="185"/>
      <c r="AC261" s="185"/>
      <c r="AD261" s="185"/>
      <c r="AE261" s="185"/>
      <c r="AF261" s="185"/>
    </row>
    <row r="262" spans="1:32" s="115" customFormat="1" ht="16" customHeight="1">
      <c r="A262" s="273">
        <v>46008</v>
      </c>
      <c r="B262" s="109" t="s">
        <v>38</v>
      </c>
      <c r="C262" s="137" t="s">
        <v>54</v>
      </c>
      <c r="D262" s="137" t="s">
        <v>553</v>
      </c>
      <c r="E262" s="492"/>
      <c r="F262" s="109" t="s">
        <v>554</v>
      </c>
      <c r="G262" s="133">
        <v>3018</v>
      </c>
      <c r="H262" s="133">
        <f>753-40</f>
        <v>713</v>
      </c>
      <c r="I262" s="109"/>
      <c r="J262" s="109"/>
      <c r="K262" s="133"/>
      <c r="L262" s="109"/>
      <c r="M262" s="109"/>
      <c r="N262" s="109"/>
      <c r="O262" s="391"/>
      <c r="P262" s="138" t="s">
        <v>5</v>
      </c>
      <c r="Q262" s="139">
        <v>1988880</v>
      </c>
      <c r="R262" s="392">
        <v>0.15</v>
      </c>
      <c r="S262" s="393">
        <f t="shared" si="56"/>
        <v>298332</v>
      </c>
      <c r="T262" s="387">
        <f t="shared" si="57"/>
        <v>659.00596421471175</v>
      </c>
      <c r="U262" s="141">
        <f t="shared" si="53"/>
        <v>46068</v>
      </c>
      <c r="V262" s="142"/>
      <c r="W262" s="143"/>
      <c r="X262" s="476"/>
      <c r="Y262" s="135" t="str">
        <f>IF(OR(P262="Ordre",P262="Ferdig"),"x","")</f>
        <v/>
      </c>
      <c r="Z262" s="426" t="str">
        <f>IF(P262="Ferdig","x","")</f>
        <v/>
      </c>
      <c r="AA262" s="136" t="str">
        <f>IF(P262="Tapt","x","")</f>
        <v/>
      </c>
      <c r="AB262" s="185"/>
      <c r="AC262" s="185"/>
      <c r="AD262" s="185"/>
      <c r="AE262" s="185"/>
      <c r="AF262" s="185"/>
    </row>
    <row r="263" spans="1:32" s="115" customFormat="1" ht="16" customHeight="1">
      <c r="A263" s="273">
        <v>45643</v>
      </c>
      <c r="B263" s="109" t="s">
        <v>38</v>
      </c>
      <c r="C263" s="137" t="s">
        <v>54</v>
      </c>
      <c r="D263" s="137" t="s">
        <v>555</v>
      </c>
      <c r="E263" s="492"/>
      <c r="F263" s="109" t="s">
        <v>556</v>
      </c>
      <c r="G263" s="133">
        <v>9853</v>
      </c>
      <c r="H263" s="133">
        <f>1744-101</f>
        <v>1643</v>
      </c>
      <c r="I263" s="109"/>
      <c r="J263" s="109"/>
      <c r="K263" s="133"/>
      <c r="L263" s="109"/>
      <c r="M263" s="109"/>
      <c r="N263" s="109"/>
      <c r="O263" s="391"/>
      <c r="P263" s="138" t="s">
        <v>5</v>
      </c>
      <c r="Q263" s="139">
        <v>5314310</v>
      </c>
      <c r="R263" s="392">
        <v>0.1</v>
      </c>
      <c r="S263" s="393">
        <f t="shared" si="56"/>
        <v>531431</v>
      </c>
      <c r="T263" s="387">
        <f t="shared" si="57"/>
        <v>539.3595859129199</v>
      </c>
      <c r="U263" s="141">
        <f t="shared" si="53"/>
        <v>45703</v>
      </c>
      <c r="V263" s="142"/>
      <c r="W263" s="143" t="s">
        <v>557</v>
      </c>
      <c r="X263" s="476"/>
      <c r="Y263" s="135" t="str">
        <f>IF(OR(P263="Ordre",P263="Ferdig"),"x","")</f>
        <v/>
      </c>
      <c r="Z263" s="426" t="str">
        <f>IF(P263="Ferdig","x","")</f>
        <v/>
      </c>
      <c r="AA263" s="136" t="str">
        <f>IF(P263="Tapt","x","")</f>
        <v/>
      </c>
      <c r="AB263" s="185"/>
      <c r="AC263" s="185"/>
      <c r="AD263" s="185"/>
      <c r="AE263" s="185"/>
      <c r="AF263" s="185"/>
    </row>
    <row r="264" spans="1:32" s="115" customFormat="1" ht="16" customHeight="1">
      <c r="A264" s="273">
        <v>45638</v>
      </c>
      <c r="B264" s="109" t="s">
        <v>38</v>
      </c>
      <c r="C264" s="137" t="s">
        <v>294</v>
      </c>
      <c r="D264" s="137" t="s">
        <v>558</v>
      </c>
      <c r="E264" s="492"/>
      <c r="F264" s="109" t="s">
        <v>65</v>
      </c>
      <c r="G264" s="133">
        <v>1092</v>
      </c>
      <c r="H264" s="133">
        <f>262-29</f>
        <v>233</v>
      </c>
      <c r="I264" s="109"/>
      <c r="J264" s="109"/>
      <c r="K264" s="133"/>
      <c r="L264" s="109"/>
      <c r="M264" s="109"/>
      <c r="N264" s="109"/>
      <c r="O264" s="391"/>
      <c r="P264" s="138" t="s">
        <v>5</v>
      </c>
      <c r="Q264" s="139">
        <v>764180</v>
      </c>
      <c r="R264" s="392">
        <v>0.1125</v>
      </c>
      <c r="S264" s="393">
        <f t="shared" si="56"/>
        <v>85970.25</v>
      </c>
      <c r="T264" s="387">
        <f t="shared" si="57"/>
        <v>699.79853479853477</v>
      </c>
      <c r="U264" s="141">
        <f t="shared" si="53"/>
        <v>45698</v>
      </c>
      <c r="V264" s="142"/>
      <c r="W264" s="143"/>
      <c r="X264" s="476"/>
      <c r="Y264" s="135" t="str">
        <f>IF(OR(P264="Ordre",P264="Ferdig"),"x","")</f>
        <v/>
      </c>
      <c r="Z264" s="426" t="str">
        <f>IF(P264="Ferdig","x","")</f>
        <v/>
      </c>
      <c r="AA264" s="136" t="str">
        <f>IF(P264="Tapt","x","")</f>
        <v/>
      </c>
      <c r="AB264" s="185"/>
      <c r="AC264" s="185"/>
      <c r="AD264" s="185"/>
      <c r="AE264" s="185"/>
      <c r="AF264" s="185"/>
    </row>
    <row r="265" spans="1:32" s="115" customFormat="1" ht="16" customHeight="1">
      <c r="A265" s="273">
        <v>45642</v>
      </c>
      <c r="B265" s="109" t="s">
        <v>38</v>
      </c>
      <c r="C265" s="137" t="s">
        <v>559</v>
      </c>
      <c r="D265" s="137" t="s">
        <v>560</v>
      </c>
      <c r="E265" s="492"/>
      <c r="F265" s="109" t="s">
        <v>561</v>
      </c>
      <c r="G265" s="133">
        <v>9800</v>
      </c>
      <c r="H265" s="133">
        <f>1796-101</f>
        <v>1695</v>
      </c>
      <c r="I265" s="109"/>
      <c r="J265" s="109"/>
      <c r="K265" s="133"/>
      <c r="L265" s="109"/>
      <c r="M265" s="109"/>
      <c r="N265" s="109"/>
      <c r="O265" s="391"/>
      <c r="P265" s="138" t="s">
        <v>43</v>
      </c>
      <c r="Q265" s="139">
        <v>5586000</v>
      </c>
      <c r="R265" s="392">
        <v>0.12</v>
      </c>
      <c r="S265" s="393">
        <f t="shared" si="56"/>
        <v>670320</v>
      </c>
      <c r="T265" s="387">
        <f t="shared" si="57"/>
        <v>570</v>
      </c>
      <c r="U265" s="141">
        <f t="shared" si="53"/>
        <v>45702</v>
      </c>
      <c r="V265" s="142"/>
      <c r="W265" s="143"/>
      <c r="X265" s="476"/>
      <c r="Y265" s="135"/>
      <c r="Z265" s="426"/>
      <c r="AA265" s="136"/>
      <c r="AB265" s="185"/>
      <c r="AC265" s="185"/>
      <c r="AD265" s="185"/>
      <c r="AE265" s="185"/>
      <c r="AF265" s="185"/>
    </row>
    <row r="266" spans="1:32" s="115" customFormat="1" ht="16" customHeight="1">
      <c r="A266" s="273">
        <v>45643</v>
      </c>
      <c r="B266" s="109" t="s">
        <v>38</v>
      </c>
      <c r="C266" s="137" t="s">
        <v>687</v>
      </c>
      <c r="D266" s="137" t="s">
        <v>562</v>
      </c>
      <c r="E266" s="492"/>
      <c r="F266" s="109" t="s">
        <v>243</v>
      </c>
      <c r="G266" s="133">
        <v>3018</v>
      </c>
      <c r="H266" s="133">
        <f>783-40</f>
        <v>743</v>
      </c>
      <c r="I266" s="109"/>
      <c r="J266" s="109"/>
      <c r="K266" s="133"/>
      <c r="L266" s="109"/>
      <c r="M266" s="109"/>
      <c r="N266" s="109"/>
      <c r="O266" s="599"/>
      <c r="P266" s="138" t="s">
        <v>5</v>
      </c>
      <c r="Q266" s="139">
        <v>1988880</v>
      </c>
      <c r="R266" s="392">
        <v>0.15</v>
      </c>
      <c r="S266" s="393">
        <f t="shared" si="56"/>
        <v>298332</v>
      </c>
      <c r="T266" s="387">
        <f t="shared" si="57"/>
        <v>659.00596421471175</v>
      </c>
      <c r="U266" s="141">
        <f t="shared" si="53"/>
        <v>45703</v>
      </c>
      <c r="V266" s="142"/>
      <c r="W266" s="143" t="s">
        <v>563</v>
      </c>
      <c r="X266" s="476"/>
      <c r="Y266" s="135" t="str">
        <f>IF(OR(P266="Ordre",P266="Ferdig"),"x","")</f>
        <v/>
      </c>
      <c r="Z266" s="426" t="str">
        <f>IF(P266="Ferdig","x","")</f>
        <v/>
      </c>
      <c r="AA266" s="136" t="str">
        <f>IF(P266="Tapt","x","")</f>
        <v/>
      </c>
      <c r="AB266" s="185"/>
      <c r="AC266" s="185"/>
      <c r="AD266" s="185"/>
      <c r="AE266" s="185"/>
      <c r="AF266" s="185"/>
    </row>
    <row r="267" spans="1:32" s="115" customFormat="1" ht="16" customHeight="1">
      <c r="A267" s="273">
        <v>45666</v>
      </c>
      <c r="B267" s="109" t="s">
        <v>38</v>
      </c>
      <c r="C267" s="137" t="s">
        <v>54</v>
      </c>
      <c r="D267" s="137" t="s">
        <v>564</v>
      </c>
      <c r="E267" s="492"/>
      <c r="F267" s="109" t="s">
        <v>565</v>
      </c>
      <c r="G267" s="133">
        <v>1366</v>
      </c>
      <c r="H267" s="133">
        <v>369</v>
      </c>
      <c r="I267" s="109"/>
      <c r="J267" s="109"/>
      <c r="K267" s="138" t="s">
        <v>5</v>
      </c>
      <c r="L267" s="139">
        <v>1151480</v>
      </c>
      <c r="M267" s="392">
        <v>0.16</v>
      </c>
      <c r="N267" s="393">
        <v>184236.80000000002</v>
      </c>
      <c r="O267" s="598">
        <v>842.95754026354314</v>
      </c>
      <c r="P267" s="138" t="s">
        <v>5</v>
      </c>
      <c r="Q267" s="139">
        <v>1151480</v>
      </c>
      <c r="R267" s="392">
        <v>0.16</v>
      </c>
      <c r="S267" s="393">
        <f t="shared" si="56"/>
        <v>184236.80000000002</v>
      </c>
      <c r="T267" s="387">
        <f t="shared" si="57"/>
        <v>842.95754026354314</v>
      </c>
      <c r="U267" s="141">
        <f t="shared" si="53"/>
        <v>45726</v>
      </c>
      <c r="V267" s="142"/>
      <c r="W267" s="143"/>
      <c r="X267" s="476"/>
      <c r="Y267" s="135" t="str">
        <f>IF(OR(P267="Ordre",P267="Ferdig"),"x","")</f>
        <v/>
      </c>
      <c r="Z267" s="426" t="str">
        <f>IF(P267="Ferdig","x","")</f>
        <v/>
      </c>
      <c r="AA267" s="136" t="str">
        <f>IF(P267="Tapt","x","")</f>
        <v/>
      </c>
      <c r="AB267" s="185"/>
      <c r="AC267" s="185"/>
      <c r="AD267" s="185"/>
      <c r="AE267" s="185"/>
      <c r="AF267" s="185"/>
    </row>
    <row r="268" spans="1:32" s="115" customFormat="1" ht="16" customHeight="1">
      <c r="A268" s="273"/>
      <c r="B268" s="109" t="s">
        <v>38</v>
      </c>
      <c r="C268" s="137" t="s">
        <v>54</v>
      </c>
      <c r="D268" s="137" t="s">
        <v>566</v>
      </c>
      <c r="E268" s="492">
        <v>45684</v>
      </c>
      <c r="F268" s="109"/>
      <c r="G268" s="133">
        <v>1897</v>
      </c>
      <c r="H268" s="133"/>
      <c r="I268" s="109"/>
      <c r="J268" s="109"/>
      <c r="K268" s="133"/>
      <c r="L268" s="109"/>
      <c r="M268" s="109"/>
      <c r="N268" s="109"/>
      <c r="O268" s="391"/>
      <c r="P268" s="138" t="s">
        <v>43</v>
      </c>
      <c r="Q268" s="139"/>
      <c r="R268" s="392"/>
      <c r="S268" s="393"/>
      <c r="T268" s="387"/>
      <c r="U268" s="141" t="str">
        <f t="shared" si="53"/>
        <v/>
      </c>
      <c r="V268" s="142"/>
      <c r="W268" s="143" t="s">
        <v>567</v>
      </c>
      <c r="X268" s="476"/>
      <c r="Y268" s="135"/>
      <c r="Z268" s="426"/>
      <c r="AA268" s="136"/>
      <c r="AB268" s="185"/>
      <c r="AC268" s="185"/>
      <c r="AD268" s="185"/>
      <c r="AE268" s="185"/>
      <c r="AF268" s="185"/>
    </row>
    <row r="269" spans="1:32" s="115" customFormat="1" ht="16" customHeight="1">
      <c r="A269" s="273">
        <v>45665</v>
      </c>
      <c r="B269" s="109" t="s">
        <v>38</v>
      </c>
      <c r="C269" s="137" t="s">
        <v>294</v>
      </c>
      <c r="D269" s="137" t="s">
        <v>568</v>
      </c>
      <c r="E269" s="492"/>
      <c r="F269" s="109" t="s">
        <v>569</v>
      </c>
      <c r="G269" s="133">
        <v>571</v>
      </c>
      <c r="H269" s="133">
        <f>212-26</f>
        <v>186</v>
      </c>
      <c r="I269" s="109"/>
      <c r="J269" s="109"/>
      <c r="K269" s="133"/>
      <c r="L269" s="109"/>
      <c r="M269" s="109"/>
      <c r="N269" s="109"/>
      <c r="O269" s="391"/>
      <c r="P269" s="138" t="s">
        <v>5</v>
      </c>
      <c r="Q269" s="139">
        <v>637310</v>
      </c>
      <c r="R269" s="392">
        <v>0.14000000000000001</v>
      </c>
      <c r="S269" s="393">
        <f>Q269*R269</f>
        <v>89223.400000000009</v>
      </c>
      <c r="T269" s="387">
        <f>Q269/G269</f>
        <v>1116.1295971978984</v>
      </c>
      <c r="U269" s="141">
        <f t="shared" si="53"/>
        <v>45725</v>
      </c>
      <c r="V269" s="142"/>
      <c r="W269" s="143"/>
      <c r="X269" s="476"/>
      <c r="Y269" s="135" t="str">
        <f>IF(OR(P269="Ordre",P269="Ferdig"),"x","")</f>
        <v/>
      </c>
      <c r="Z269" s="426" t="str">
        <f>IF(P269="Ferdig","x","")</f>
        <v/>
      </c>
      <c r="AA269" s="136" t="str">
        <f>IF(P269="Tapt","x","")</f>
        <v/>
      </c>
      <c r="AB269" s="185"/>
      <c r="AC269" s="185"/>
      <c r="AD269" s="185"/>
      <c r="AE269" s="185"/>
      <c r="AF269" s="185"/>
    </row>
    <row r="270" spans="1:32" s="115" customFormat="1" ht="16" customHeight="1">
      <c r="A270" s="273">
        <v>45677</v>
      </c>
      <c r="B270" s="109" t="s">
        <v>38</v>
      </c>
      <c r="C270" s="137" t="s">
        <v>54</v>
      </c>
      <c r="D270" s="137" t="s">
        <v>570</v>
      </c>
      <c r="E270" s="492"/>
      <c r="F270" s="109" t="s">
        <v>571</v>
      </c>
      <c r="G270" s="133">
        <v>839</v>
      </c>
      <c r="H270" s="133">
        <f>239-27</f>
        <v>212</v>
      </c>
      <c r="I270" s="109"/>
      <c r="J270" s="109"/>
      <c r="K270" s="133"/>
      <c r="L270" s="109"/>
      <c r="M270" s="109"/>
      <c r="N270" s="109"/>
      <c r="O270" s="391"/>
      <c r="P270" s="138" t="s">
        <v>5</v>
      </c>
      <c r="Q270" s="139">
        <v>689030</v>
      </c>
      <c r="R270" s="392">
        <v>0.16</v>
      </c>
      <c r="S270" s="393">
        <f>Q270*R270</f>
        <v>110244.8</v>
      </c>
      <c r="T270" s="387">
        <f>Q270/G270</f>
        <v>821.25148986889155</v>
      </c>
      <c r="U270" s="141">
        <f t="shared" si="53"/>
        <v>45737</v>
      </c>
      <c r="V270" s="142"/>
      <c r="W270" s="143"/>
      <c r="X270" s="476"/>
      <c r="Y270" s="135" t="str">
        <f>IF(OR(P270="Ordre",P270="Ferdig"),"x","")</f>
        <v/>
      </c>
      <c r="Z270" s="426" t="str">
        <f>IF(P270="Ferdig","x","")</f>
        <v/>
      </c>
      <c r="AA270" s="136" t="str">
        <f>IF(P270="Tapt","x","")</f>
        <v/>
      </c>
      <c r="AB270" s="185"/>
      <c r="AC270" s="185"/>
      <c r="AD270" s="185"/>
      <c r="AE270" s="185"/>
      <c r="AF270" s="185"/>
    </row>
    <row r="271" spans="1:32" s="115" customFormat="1" ht="16" customHeight="1">
      <c r="A271" s="273">
        <v>45665</v>
      </c>
      <c r="B271" s="109" t="s">
        <v>38</v>
      </c>
      <c r="C271" s="137" t="s">
        <v>54</v>
      </c>
      <c r="D271" s="137" t="s">
        <v>572</v>
      </c>
      <c r="E271" s="492"/>
      <c r="F271" s="109" t="s">
        <v>41</v>
      </c>
      <c r="G271" s="133">
        <v>901</v>
      </c>
      <c r="H271" s="133">
        <f>221-28</f>
        <v>193</v>
      </c>
      <c r="I271" s="109"/>
      <c r="J271" s="109"/>
      <c r="K271" s="133"/>
      <c r="L271" s="109"/>
      <c r="M271" s="109"/>
      <c r="N271" s="109"/>
      <c r="O271" s="391"/>
      <c r="P271" s="138" t="s">
        <v>5</v>
      </c>
      <c r="Q271" s="139">
        <v>632170</v>
      </c>
      <c r="R271" s="392">
        <v>0.15</v>
      </c>
      <c r="S271" s="393">
        <f>Q271*R271</f>
        <v>94825.5</v>
      </c>
      <c r="T271" s="387">
        <f>Q271/G271</f>
        <v>701.63152053274143</v>
      </c>
      <c r="U271" s="141">
        <f t="shared" si="53"/>
        <v>45725</v>
      </c>
      <c r="V271" s="142"/>
      <c r="W271" s="143"/>
      <c r="X271" s="476"/>
      <c r="Y271" s="135" t="str">
        <f>IF(OR(P271="Ordre",P271="Ferdig"),"x","")</f>
        <v/>
      </c>
      <c r="Z271" s="426" t="str">
        <f>IF(P271="Ferdig","x","")</f>
        <v/>
      </c>
      <c r="AA271" s="136" t="str">
        <f>IF(P271="Tapt","x","")</f>
        <v/>
      </c>
      <c r="AB271" s="185"/>
      <c r="AC271" s="185"/>
      <c r="AD271" s="185"/>
      <c r="AE271" s="185"/>
      <c r="AF271" s="185"/>
    </row>
    <row r="272" spans="1:32" s="115" customFormat="1" ht="16" customHeight="1">
      <c r="A272" s="273">
        <v>45693</v>
      </c>
      <c r="B272" s="109" t="s">
        <v>38</v>
      </c>
      <c r="C272" s="137" t="s">
        <v>54</v>
      </c>
      <c r="D272" s="137" t="s">
        <v>573</v>
      </c>
      <c r="E272" s="492"/>
      <c r="F272" s="109" t="s">
        <v>574</v>
      </c>
      <c r="G272" s="133">
        <v>1367</v>
      </c>
      <c r="H272" s="133">
        <f>518-59</f>
        <v>459</v>
      </c>
      <c r="I272" s="109"/>
      <c r="J272" s="109"/>
      <c r="K272" s="133"/>
      <c r="L272" s="109"/>
      <c r="M272" s="109"/>
      <c r="N272" s="109"/>
      <c r="O272" s="391"/>
      <c r="P272" s="138" t="s">
        <v>5</v>
      </c>
      <c r="Q272" s="139">
        <v>1237280</v>
      </c>
      <c r="R272" s="392">
        <v>0.16</v>
      </c>
      <c r="S272" s="393">
        <f>Q272*R272</f>
        <v>197964.80000000002</v>
      </c>
      <c r="T272" s="387">
        <f>Q272/G272</f>
        <v>905.10607168983177</v>
      </c>
      <c r="U272" s="141">
        <f t="shared" si="53"/>
        <v>45753</v>
      </c>
      <c r="V272" s="142"/>
      <c r="W272" s="143"/>
      <c r="X272" s="476"/>
      <c r="Y272" s="135" t="str">
        <f>IF(OR(P272="Ordre",P272="Ferdig"),"x","")</f>
        <v/>
      </c>
      <c r="Z272" s="426" t="str">
        <f>IF(P272="Ferdig","x","")</f>
        <v/>
      </c>
      <c r="AA272" s="136" t="str">
        <f>IF(P272="Tapt","x","")</f>
        <v/>
      </c>
      <c r="AB272" s="185"/>
      <c r="AC272" s="185"/>
      <c r="AD272" s="185"/>
      <c r="AE272" s="185"/>
      <c r="AF272" s="185"/>
    </row>
    <row r="273" spans="1:32" s="115" customFormat="1" ht="16" customHeight="1">
      <c r="A273" s="273">
        <v>45681</v>
      </c>
      <c r="B273" s="109" t="s">
        <v>38</v>
      </c>
      <c r="C273" s="137" t="s">
        <v>54</v>
      </c>
      <c r="D273" s="137" t="s">
        <v>575</v>
      </c>
      <c r="E273" s="492"/>
      <c r="F273" s="109" t="s">
        <v>576</v>
      </c>
      <c r="G273" s="133">
        <v>21755</v>
      </c>
      <c r="H273" s="133">
        <f>3666-187</f>
        <v>3479</v>
      </c>
      <c r="I273" s="109"/>
      <c r="J273" s="109"/>
      <c r="K273" s="133"/>
      <c r="L273" s="109"/>
      <c r="M273" s="109"/>
      <c r="N273" s="109"/>
      <c r="O273" s="391"/>
      <c r="P273" s="138" t="s">
        <v>5</v>
      </c>
      <c r="Q273" s="139">
        <v>10989030</v>
      </c>
      <c r="R273" s="392">
        <v>0.1086</v>
      </c>
      <c r="S273" s="393">
        <f>Q273*R273</f>
        <v>1193408.6580000001</v>
      </c>
      <c r="T273" s="387">
        <f>Q273/G273</f>
        <v>505.12663755458516</v>
      </c>
      <c r="U273" s="141">
        <f t="shared" si="53"/>
        <v>45741</v>
      </c>
      <c r="V273" s="142"/>
      <c r="W273" s="143"/>
      <c r="X273" s="476"/>
      <c r="Y273" s="135" t="str">
        <f>IF(OR(P273="Ordre",P273="Ferdig"),"x","")</f>
        <v/>
      </c>
      <c r="Z273" s="426" t="str">
        <f>IF(P273="Ferdig","x","")</f>
        <v/>
      </c>
      <c r="AA273" s="136" t="str">
        <f>IF(P273="Tapt","x","")</f>
        <v/>
      </c>
      <c r="AB273" s="185"/>
      <c r="AC273" s="185"/>
      <c r="AD273" s="185"/>
      <c r="AE273" s="185"/>
      <c r="AF273" s="185"/>
    </row>
    <row r="274" spans="1:32" s="115" customFormat="1" ht="16" customHeight="1">
      <c r="A274" s="273"/>
      <c r="B274" s="109" t="s">
        <v>38</v>
      </c>
      <c r="C274" s="137" t="s">
        <v>340</v>
      </c>
      <c r="D274" s="137" t="s">
        <v>577</v>
      </c>
      <c r="E274" s="492">
        <v>45695</v>
      </c>
      <c r="F274" s="109"/>
      <c r="G274" s="133"/>
      <c r="H274" s="133"/>
      <c r="I274" s="109"/>
      <c r="J274" s="109"/>
      <c r="K274" s="133"/>
      <c r="L274" s="109"/>
      <c r="M274" s="109"/>
      <c r="N274" s="109"/>
      <c r="O274" s="391"/>
      <c r="P274" s="138" t="s">
        <v>43</v>
      </c>
      <c r="Q274" s="139"/>
      <c r="R274" s="392"/>
      <c r="S274" s="393"/>
      <c r="T274" s="387"/>
      <c r="U274" s="141" t="str">
        <f t="shared" si="53"/>
        <v/>
      </c>
      <c r="V274" s="142"/>
      <c r="W274" s="143"/>
      <c r="X274" s="476"/>
      <c r="Y274" s="135"/>
      <c r="Z274" s="426"/>
      <c r="AA274" s="136"/>
      <c r="AB274" s="185"/>
      <c r="AC274" s="185"/>
      <c r="AD274" s="185"/>
      <c r="AE274" s="185"/>
      <c r="AF274" s="185"/>
    </row>
    <row r="275" spans="1:32" s="115" customFormat="1" ht="16" customHeight="1">
      <c r="A275" s="273">
        <v>45670</v>
      </c>
      <c r="B275" s="109" t="s">
        <v>38</v>
      </c>
      <c r="C275" s="137" t="s">
        <v>54</v>
      </c>
      <c r="D275" s="137" t="s">
        <v>578</v>
      </c>
      <c r="E275" s="492"/>
      <c r="F275" s="109" t="s">
        <v>579</v>
      </c>
      <c r="G275" s="133">
        <v>3421</v>
      </c>
      <c r="H275" s="133">
        <f>904-95</f>
        <v>809</v>
      </c>
      <c r="I275" s="109"/>
      <c r="J275" s="109"/>
      <c r="K275" s="133"/>
      <c r="L275" s="109"/>
      <c r="M275" s="109"/>
      <c r="N275" s="109"/>
      <c r="O275" s="391"/>
      <c r="P275" s="138" t="s">
        <v>5</v>
      </c>
      <c r="Q275" s="139">
        <v>2932520</v>
      </c>
      <c r="R275" s="392">
        <v>0.17</v>
      </c>
      <c r="S275" s="393">
        <f t="shared" ref="S275:S280" si="58">Q275*R275</f>
        <v>498528.4</v>
      </c>
      <c r="T275" s="387">
        <f t="shared" ref="T275:T280" si="59">Q275/G275</f>
        <v>857.21134171294943</v>
      </c>
      <c r="U275" s="141">
        <f t="shared" si="53"/>
        <v>45730</v>
      </c>
      <c r="V275" s="142"/>
      <c r="W275" s="143"/>
      <c r="X275" s="476"/>
      <c r="Y275" s="135" t="str">
        <f>IF(OR(P275="Ordre",P275="Ferdig"),"x","")</f>
        <v/>
      </c>
      <c r="Z275" s="426" t="str">
        <f>IF(P275="Ferdig","x","")</f>
        <v/>
      </c>
      <c r="AA275" s="136" t="str">
        <f>IF(P275="Tapt","x","")</f>
        <v/>
      </c>
      <c r="AB275" s="185"/>
      <c r="AC275" s="185"/>
      <c r="AD275" s="185"/>
      <c r="AE275" s="185"/>
      <c r="AF275" s="185"/>
    </row>
    <row r="276" spans="1:32" s="115" customFormat="1" ht="16" customHeight="1">
      <c r="A276" s="273">
        <v>45679</v>
      </c>
      <c r="B276" s="109" t="s">
        <v>38</v>
      </c>
      <c r="C276" s="137" t="s">
        <v>54</v>
      </c>
      <c r="D276" s="137" t="s">
        <v>580</v>
      </c>
      <c r="E276" s="492"/>
      <c r="F276" s="109" t="s">
        <v>208</v>
      </c>
      <c r="G276" s="133">
        <v>1730</v>
      </c>
      <c r="H276" s="133">
        <f>471-60</f>
        <v>411</v>
      </c>
      <c r="I276" s="109"/>
      <c r="J276" s="109"/>
      <c r="K276" s="133"/>
      <c r="L276" s="109"/>
      <c r="M276" s="109"/>
      <c r="N276" s="109"/>
      <c r="O276" s="391"/>
      <c r="P276" s="138" t="s">
        <v>5</v>
      </c>
      <c r="Q276" s="139">
        <v>1322900</v>
      </c>
      <c r="R276" s="392">
        <v>0.16</v>
      </c>
      <c r="S276" s="393">
        <f t="shared" si="58"/>
        <v>211664</v>
      </c>
      <c r="T276" s="387">
        <f t="shared" si="59"/>
        <v>764.68208092485554</v>
      </c>
      <c r="U276" s="141">
        <f t="shared" si="53"/>
        <v>45739</v>
      </c>
      <c r="V276" s="142"/>
      <c r="W276" s="143"/>
      <c r="X276" s="476"/>
      <c r="Y276" s="135" t="str">
        <f>IF(OR(P276="Ordre",P276="Ferdig"),"x","")</f>
        <v/>
      </c>
      <c r="Z276" s="426" t="str">
        <f>IF(P276="Ferdig","x","")</f>
        <v/>
      </c>
      <c r="AA276" s="136" t="str">
        <f>IF(P276="Tapt","x","")</f>
        <v/>
      </c>
      <c r="AB276" s="185"/>
      <c r="AC276" s="185"/>
      <c r="AD276" s="185"/>
      <c r="AE276" s="185"/>
      <c r="AF276" s="185"/>
    </row>
    <row r="277" spans="1:32" s="115" customFormat="1" ht="16" customHeight="1">
      <c r="A277" s="273">
        <v>45679</v>
      </c>
      <c r="B277" s="109" t="s">
        <v>38</v>
      </c>
      <c r="C277" s="137" t="s">
        <v>54</v>
      </c>
      <c r="D277" s="137" t="s">
        <v>581</v>
      </c>
      <c r="E277" s="492"/>
      <c r="F277" s="109" t="s">
        <v>582</v>
      </c>
      <c r="G277" s="133">
        <v>1375</v>
      </c>
      <c r="H277" s="133">
        <f>364-38</f>
        <v>326</v>
      </c>
      <c r="I277" s="109"/>
      <c r="J277" s="109"/>
      <c r="K277" s="133"/>
      <c r="L277" s="109"/>
      <c r="M277" s="109"/>
      <c r="N277" s="109"/>
      <c r="O277" s="391"/>
      <c r="P277" s="138" t="s">
        <v>5</v>
      </c>
      <c r="Q277" s="139">
        <v>949570</v>
      </c>
      <c r="R277" s="392">
        <v>0.15</v>
      </c>
      <c r="S277" s="393">
        <f t="shared" si="58"/>
        <v>142435.5</v>
      </c>
      <c r="T277" s="387">
        <f t="shared" si="59"/>
        <v>690.59636363636366</v>
      </c>
      <c r="U277" s="141">
        <f t="shared" si="53"/>
        <v>45739</v>
      </c>
      <c r="V277" s="142"/>
      <c r="W277" s="143"/>
      <c r="X277" s="476"/>
      <c r="Y277" s="135" t="str">
        <f>IF(OR(P277="Ordre",P277="Ferdig"),"x","")</f>
        <v/>
      </c>
      <c r="Z277" s="426" t="str">
        <f>IF(P277="Ferdig","x","")</f>
        <v/>
      </c>
      <c r="AA277" s="136" t="str">
        <f>IF(P277="Tapt","x","")</f>
        <v/>
      </c>
      <c r="AB277" s="185"/>
      <c r="AC277" s="185"/>
      <c r="AD277" s="185"/>
      <c r="AE277" s="185"/>
      <c r="AF277" s="185"/>
    </row>
    <row r="278" spans="1:32" s="115" customFormat="1" ht="16" customHeight="1">
      <c r="A278" s="273">
        <v>45687</v>
      </c>
      <c r="B278" s="109" t="s">
        <v>38</v>
      </c>
      <c r="C278" s="137" t="s">
        <v>54</v>
      </c>
      <c r="D278" s="137" t="s">
        <v>583</v>
      </c>
      <c r="E278" s="492"/>
      <c r="F278" s="109" t="s">
        <v>41</v>
      </c>
      <c r="G278" s="133">
        <v>1217</v>
      </c>
      <c r="H278" s="133">
        <f>288-28</f>
        <v>260</v>
      </c>
      <c r="I278" s="109"/>
      <c r="J278" s="109"/>
      <c r="K278" s="133"/>
      <c r="L278" s="109"/>
      <c r="M278" s="109"/>
      <c r="N278" s="109"/>
      <c r="O278" s="391"/>
      <c r="P278" s="138" t="s">
        <v>3</v>
      </c>
      <c r="Q278" s="139">
        <v>835500</v>
      </c>
      <c r="R278" s="392">
        <v>0.15</v>
      </c>
      <c r="S278" s="393">
        <f t="shared" si="58"/>
        <v>125325</v>
      </c>
      <c r="T278" s="387">
        <f t="shared" si="59"/>
        <v>686.52423993426453</v>
      </c>
      <c r="U278" s="141">
        <f t="shared" si="53"/>
        <v>45747</v>
      </c>
      <c r="V278" s="142"/>
      <c r="W278" s="143"/>
      <c r="X278" s="476"/>
      <c r="Y278" s="135" t="str">
        <f>IF(OR(P278="Ordre",P278="Ferdig"),"x","")</f>
        <v>x</v>
      </c>
      <c r="Z278" s="426" t="str">
        <f>IF(P278="Ferdig","x","")</f>
        <v/>
      </c>
      <c r="AA278" s="136" t="str">
        <f>IF(P278="Tapt","x","")</f>
        <v/>
      </c>
      <c r="AB278" s="185"/>
      <c r="AC278" s="185"/>
      <c r="AD278" s="185"/>
      <c r="AE278" s="185"/>
      <c r="AF278" s="185"/>
    </row>
    <row r="279" spans="1:32" s="115" customFormat="1" ht="16" customHeight="1">
      <c r="A279" s="273">
        <v>45679</v>
      </c>
      <c r="B279" s="109" t="s">
        <v>38</v>
      </c>
      <c r="C279" s="137" t="s">
        <v>584</v>
      </c>
      <c r="D279" s="137" t="s">
        <v>585</v>
      </c>
      <c r="E279" s="492"/>
      <c r="F279" s="109" t="s">
        <v>586</v>
      </c>
      <c r="G279" s="133">
        <v>683</v>
      </c>
      <c r="H279" s="133">
        <f>198-21</f>
        <v>177</v>
      </c>
      <c r="I279" s="109"/>
      <c r="J279" s="109"/>
      <c r="K279" s="133"/>
      <c r="L279" s="109"/>
      <c r="M279" s="109"/>
      <c r="N279" s="109"/>
      <c r="O279" s="391"/>
      <c r="P279" s="138" t="s">
        <v>5</v>
      </c>
      <c r="Q279" s="139">
        <v>547190</v>
      </c>
      <c r="R279" s="392">
        <v>0.16</v>
      </c>
      <c r="S279" s="393">
        <f t="shared" si="58"/>
        <v>87550.400000000009</v>
      </c>
      <c r="T279" s="387">
        <f t="shared" si="59"/>
        <v>801.15666178623724</v>
      </c>
      <c r="U279" s="141">
        <f t="shared" si="53"/>
        <v>45739</v>
      </c>
      <c r="V279" s="142"/>
      <c r="W279" s="143"/>
      <c r="X279" s="476"/>
      <c r="Y279" s="135" t="str">
        <f>IF(OR(P279="Ordre",P279="Ferdig"),"x","")</f>
        <v/>
      </c>
      <c r="Z279" s="426" t="str">
        <f>IF(P279="Ferdig","x","")</f>
        <v/>
      </c>
      <c r="AA279" s="136" t="str">
        <f>IF(P279="Tapt","x","")</f>
        <v/>
      </c>
      <c r="AB279" s="185"/>
      <c r="AC279" s="185"/>
      <c r="AD279" s="185"/>
      <c r="AE279" s="185"/>
      <c r="AF279" s="185"/>
    </row>
    <row r="280" spans="1:32" s="115" customFormat="1" ht="16" customHeight="1">
      <c r="A280" s="273">
        <v>45684</v>
      </c>
      <c r="B280" s="109" t="s">
        <v>38</v>
      </c>
      <c r="C280" s="137" t="s">
        <v>587</v>
      </c>
      <c r="D280" s="137" t="s">
        <v>588</v>
      </c>
      <c r="E280" s="492"/>
      <c r="F280" s="109" t="s">
        <v>589</v>
      </c>
      <c r="G280" s="133">
        <v>2160</v>
      </c>
      <c r="H280" s="133">
        <f>509-46</f>
        <v>463</v>
      </c>
      <c r="I280" s="109"/>
      <c r="J280" s="109"/>
      <c r="K280" s="133"/>
      <c r="L280" s="109"/>
      <c r="M280" s="109"/>
      <c r="N280" s="109"/>
      <c r="O280" s="391"/>
      <c r="P280" s="138" t="s">
        <v>2</v>
      </c>
      <c r="Q280" s="139">
        <v>1576890</v>
      </c>
      <c r="R280" s="392">
        <v>0.15</v>
      </c>
      <c r="S280" s="393">
        <f t="shared" si="58"/>
        <v>236533.5</v>
      </c>
      <c r="T280" s="387">
        <f t="shared" si="59"/>
        <v>730.04166666666663</v>
      </c>
      <c r="U280" s="141">
        <f t="shared" si="53"/>
        <v>45744</v>
      </c>
      <c r="V280" s="142"/>
      <c r="W280" s="485" t="s">
        <v>590</v>
      </c>
      <c r="X280" s="476"/>
      <c r="Y280" s="135"/>
      <c r="Z280" s="426"/>
      <c r="AA280" s="136"/>
      <c r="AB280" s="185"/>
      <c r="AC280" s="185"/>
      <c r="AD280" s="185"/>
      <c r="AE280" s="185"/>
      <c r="AF280" s="185"/>
    </row>
    <row r="281" spans="1:32" s="115" customFormat="1" ht="16" customHeight="1">
      <c r="A281" s="273"/>
      <c r="B281" s="109" t="s">
        <v>38</v>
      </c>
      <c r="C281" s="137" t="s">
        <v>591</v>
      </c>
      <c r="D281" s="137" t="s">
        <v>592</v>
      </c>
      <c r="E281" s="492">
        <v>45688</v>
      </c>
      <c r="F281" s="109" t="s">
        <v>199</v>
      </c>
      <c r="G281" s="133"/>
      <c r="H281" s="133"/>
      <c r="I281" s="109"/>
      <c r="J281" s="109"/>
      <c r="K281" s="133"/>
      <c r="L281" s="109"/>
      <c r="M281" s="109"/>
      <c r="N281" s="109"/>
      <c r="O281" s="391"/>
      <c r="P281" s="138" t="s">
        <v>80</v>
      </c>
      <c r="Q281" s="139"/>
      <c r="R281" s="392"/>
      <c r="S281" s="393"/>
      <c r="T281" s="387"/>
      <c r="U281" s="141" t="str">
        <f t="shared" si="53"/>
        <v/>
      </c>
      <c r="V281" s="142"/>
      <c r="W281" s="143"/>
      <c r="X281" s="476"/>
      <c r="Y281" s="135"/>
      <c r="Z281" s="426"/>
      <c r="AA281" s="136"/>
      <c r="AB281" s="185"/>
      <c r="AC281" s="185"/>
      <c r="AD281" s="185"/>
      <c r="AE281" s="185"/>
      <c r="AF281" s="185"/>
    </row>
    <row r="282" spans="1:32" s="115" customFormat="1" ht="16" customHeight="1">
      <c r="A282" s="273">
        <v>45684</v>
      </c>
      <c r="B282" s="109" t="s">
        <v>38</v>
      </c>
      <c r="C282" s="137" t="s">
        <v>587</v>
      </c>
      <c r="D282" s="137" t="s">
        <v>593</v>
      </c>
      <c r="E282" s="492"/>
      <c r="F282" s="109" t="s">
        <v>594</v>
      </c>
      <c r="G282" s="133">
        <v>975</v>
      </c>
      <c r="H282" s="133">
        <f>351-26</f>
        <v>325</v>
      </c>
      <c r="I282" s="109"/>
      <c r="J282" s="109"/>
      <c r="K282" s="133"/>
      <c r="L282" s="109"/>
      <c r="M282" s="109"/>
      <c r="N282" s="109"/>
      <c r="O282" s="391"/>
      <c r="P282" s="138" t="s">
        <v>2</v>
      </c>
      <c r="Q282" s="139">
        <v>702690</v>
      </c>
      <c r="R282" s="392">
        <v>0.14000000000000001</v>
      </c>
      <c r="S282" s="393">
        <f>Q282*R282</f>
        <v>98376.6</v>
      </c>
      <c r="T282" s="387">
        <f>Q282/G282</f>
        <v>720.70769230769235</v>
      </c>
      <c r="U282" s="141">
        <f t="shared" si="53"/>
        <v>45744</v>
      </c>
      <c r="V282" s="142"/>
      <c r="W282" s="143" t="s">
        <v>595</v>
      </c>
      <c r="X282" s="476"/>
      <c r="Y282" s="135"/>
      <c r="Z282" s="426"/>
      <c r="AA282" s="136"/>
      <c r="AB282" s="185"/>
      <c r="AC282" s="185"/>
      <c r="AD282" s="185"/>
      <c r="AE282" s="185"/>
      <c r="AF282" s="185"/>
    </row>
    <row r="283" spans="1:32" s="115" customFormat="1" ht="16" customHeight="1">
      <c r="A283" s="273">
        <v>45684</v>
      </c>
      <c r="B283" s="109" t="s">
        <v>38</v>
      </c>
      <c r="C283" s="137" t="s">
        <v>54</v>
      </c>
      <c r="D283" s="137" t="s">
        <v>596</v>
      </c>
      <c r="E283" s="492"/>
      <c r="F283" s="109" t="s">
        <v>597</v>
      </c>
      <c r="G283" s="133">
        <v>5833</v>
      </c>
      <c r="H283" s="133">
        <f>1137-72</f>
        <v>1065</v>
      </c>
      <c r="I283" s="109"/>
      <c r="J283" s="109"/>
      <c r="K283" s="133"/>
      <c r="L283" s="109"/>
      <c r="M283" s="109"/>
      <c r="N283" s="109"/>
      <c r="O283" s="391"/>
      <c r="P283" s="138" t="s">
        <v>5</v>
      </c>
      <c r="Q283" s="139">
        <v>3707560</v>
      </c>
      <c r="R283" s="392">
        <v>0.16</v>
      </c>
      <c r="S283" s="393">
        <f>Q283*R283</f>
        <v>593209.59999999998</v>
      </c>
      <c r="T283" s="387">
        <f>Q283/G283</f>
        <v>635.6180353163038</v>
      </c>
      <c r="U283" s="141">
        <f t="shared" si="53"/>
        <v>45744</v>
      </c>
      <c r="V283" s="142"/>
      <c r="W283" s="143"/>
      <c r="X283" s="476"/>
      <c r="Y283" s="135" t="str">
        <f>IF(OR(P283="Ordre",P283="Ferdig"),"x","")</f>
        <v/>
      </c>
      <c r="Z283" s="426" t="str">
        <f>IF(P283="Ferdig","x","")</f>
        <v/>
      </c>
      <c r="AA283" s="136" t="str">
        <f>IF(P283="Tapt","x","")</f>
        <v/>
      </c>
      <c r="AB283" s="185"/>
      <c r="AC283" s="185"/>
      <c r="AD283" s="185"/>
      <c r="AE283" s="185"/>
      <c r="AF283" s="185"/>
    </row>
    <row r="284" spans="1:32" s="115" customFormat="1" ht="16" customHeight="1">
      <c r="A284" s="273">
        <v>45702</v>
      </c>
      <c r="B284" s="109" t="s">
        <v>38</v>
      </c>
      <c r="C284" s="137" t="s">
        <v>54</v>
      </c>
      <c r="D284" s="137" t="s">
        <v>598</v>
      </c>
      <c r="E284" s="492"/>
      <c r="F284" s="109" t="s">
        <v>77</v>
      </c>
      <c r="G284" s="133">
        <v>2050</v>
      </c>
      <c r="H284" s="133">
        <f>393-44</f>
        <v>349</v>
      </c>
      <c r="I284" s="109"/>
      <c r="J284" s="109"/>
      <c r="K284" s="133"/>
      <c r="L284" s="109"/>
      <c r="M284" s="109"/>
      <c r="N284" s="109"/>
      <c r="O284" s="391"/>
      <c r="P284" s="138" t="s">
        <v>5</v>
      </c>
      <c r="Q284" s="139">
        <v>1142120</v>
      </c>
      <c r="R284" s="392">
        <v>0.1852</v>
      </c>
      <c r="S284" s="393">
        <f>Q284*R284</f>
        <v>211520.62400000001</v>
      </c>
      <c r="T284" s="387">
        <f>Q284/G284</f>
        <v>557.13170731707316</v>
      </c>
      <c r="U284" s="141">
        <f t="shared" si="53"/>
        <v>45762</v>
      </c>
      <c r="V284" s="142"/>
      <c r="W284" s="143" t="s">
        <v>599</v>
      </c>
      <c r="X284" s="476"/>
      <c r="Y284" s="135" t="str">
        <f>IF(OR(P284="Ordre",P284="Ferdig"),"x","")</f>
        <v/>
      </c>
      <c r="Z284" s="426" t="str">
        <f>IF(P284="Ferdig","x","")</f>
        <v/>
      </c>
      <c r="AA284" s="136" t="str">
        <f>IF(P284="Tapt","x","")</f>
        <v/>
      </c>
      <c r="AB284" s="185"/>
      <c r="AC284" s="185"/>
      <c r="AD284" s="185"/>
      <c r="AE284" s="185"/>
      <c r="AF284" s="185"/>
    </row>
    <row r="285" spans="1:32" s="115" customFormat="1" ht="16" customHeight="1">
      <c r="A285" s="273"/>
      <c r="B285" s="109" t="s">
        <v>38</v>
      </c>
      <c r="C285" s="137" t="s">
        <v>54</v>
      </c>
      <c r="D285" s="137" t="s">
        <v>600</v>
      </c>
      <c r="E285" s="492">
        <v>45702</v>
      </c>
      <c r="F285" s="109" t="s">
        <v>601</v>
      </c>
      <c r="G285" s="133"/>
      <c r="H285" s="133"/>
      <c r="I285" s="109"/>
      <c r="J285" s="109"/>
      <c r="K285" s="133"/>
      <c r="L285" s="109"/>
      <c r="M285" s="109"/>
      <c r="N285" s="109"/>
      <c r="O285" s="391"/>
      <c r="P285" s="138" t="s">
        <v>80</v>
      </c>
      <c r="Q285" s="139"/>
      <c r="R285" s="392"/>
      <c r="S285" s="393"/>
      <c r="T285" s="387"/>
      <c r="U285" s="141" t="str">
        <f t="shared" si="53"/>
        <v/>
      </c>
      <c r="V285" s="142"/>
      <c r="W285" s="143"/>
      <c r="X285" s="476"/>
      <c r="Y285" s="135"/>
      <c r="Z285" s="426"/>
      <c r="AA285" s="136"/>
      <c r="AB285" s="185"/>
      <c r="AC285" s="185"/>
      <c r="AD285" s="185"/>
      <c r="AE285" s="185"/>
      <c r="AF285" s="185"/>
    </row>
    <row r="286" spans="1:32" s="115" customFormat="1" ht="16" customHeight="1">
      <c r="A286" s="273">
        <v>45699</v>
      </c>
      <c r="B286" s="109" t="s">
        <v>38</v>
      </c>
      <c r="C286" s="137" t="s">
        <v>54</v>
      </c>
      <c r="D286" s="137" t="s">
        <v>602</v>
      </c>
      <c r="E286" s="492"/>
      <c r="F286" s="109" t="s">
        <v>388</v>
      </c>
      <c r="G286" s="133">
        <v>5511</v>
      </c>
      <c r="H286" s="133">
        <f>1486-78</f>
        <v>1408</v>
      </c>
      <c r="I286" s="109"/>
      <c r="J286" s="109"/>
      <c r="K286" s="133"/>
      <c r="L286" s="109"/>
      <c r="M286" s="109"/>
      <c r="N286" s="109"/>
      <c r="O286" s="391"/>
      <c r="P286" s="138" t="s">
        <v>5</v>
      </c>
      <c r="Q286" s="139">
        <v>4417260</v>
      </c>
      <c r="R286" s="392">
        <v>0.14000000000000001</v>
      </c>
      <c r="S286" s="393">
        <f t="shared" ref="S286:S292" si="60">Q286*R286</f>
        <v>618416.4</v>
      </c>
      <c r="T286" s="387">
        <f t="shared" ref="T286:T292" si="61">Q286/G286</f>
        <v>801.5351115949918</v>
      </c>
      <c r="U286" s="141">
        <f t="shared" si="53"/>
        <v>45759</v>
      </c>
      <c r="V286" s="142"/>
      <c r="W286" s="143"/>
      <c r="X286" s="476"/>
      <c r="Y286" s="135" t="str">
        <f t="shared" ref="Y286:Y292" si="62">IF(OR(P286="Ordre",P286="Ferdig"),"x","")</f>
        <v/>
      </c>
      <c r="Z286" s="426" t="str">
        <f t="shared" ref="Z286:Z292" si="63">IF(P286="Ferdig","x","")</f>
        <v/>
      </c>
      <c r="AA286" s="136" t="str">
        <f t="shared" ref="AA286:AA292" si="64">IF(P286="Tapt","x","")</f>
        <v/>
      </c>
      <c r="AB286" s="185"/>
      <c r="AC286" s="185"/>
      <c r="AD286" s="185"/>
      <c r="AE286" s="185"/>
      <c r="AF286" s="185"/>
    </row>
    <row r="287" spans="1:32" s="115" customFormat="1" ht="16" customHeight="1">
      <c r="A287" s="273">
        <v>45694</v>
      </c>
      <c r="B287" s="109" t="s">
        <v>38</v>
      </c>
      <c r="C287" s="137" t="s">
        <v>54</v>
      </c>
      <c r="D287" s="137" t="s">
        <v>603</v>
      </c>
      <c r="E287" s="492"/>
      <c r="F287" s="109" t="s">
        <v>422</v>
      </c>
      <c r="G287" s="133">
        <v>1993</v>
      </c>
      <c r="H287" s="133">
        <f>453-43</f>
        <v>410</v>
      </c>
      <c r="I287" s="109"/>
      <c r="J287" s="109"/>
      <c r="K287" s="133"/>
      <c r="L287" s="109"/>
      <c r="M287" s="109"/>
      <c r="N287" s="109"/>
      <c r="O287" s="391"/>
      <c r="P287" s="138" t="s">
        <v>5</v>
      </c>
      <c r="Q287" s="139">
        <v>1343620</v>
      </c>
      <c r="R287" s="392">
        <v>0.16</v>
      </c>
      <c r="S287" s="393">
        <f t="shared" si="60"/>
        <v>214979.20000000001</v>
      </c>
      <c r="T287" s="387">
        <f t="shared" si="61"/>
        <v>674.16959357752137</v>
      </c>
      <c r="U287" s="141">
        <f t="shared" si="53"/>
        <v>45754</v>
      </c>
      <c r="V287" s="142"/>
      <c r="W287" s="143"/>
      <c r="X287" s="476"/>
      <c r="Y287" s="135" t="str">
        <f t="shared" si="62"/>
        <v/>
      </c>
      <c r="Z287" s="426" t="str">
        <f t="shared" si="63"/>
        <v/>
      </c>
      <c r="AA287" s="136" t="str">
        <f t="shared" si="64"/>
        <v/>
      </c>
      <c r="AB287" s="185"/>
      <c r="AC287" s="185"/>
      <c r="AD287" s="185"/>
      <c r="AE287" s="185"/>
      <c r="AF287" s="185"/>
    </row>
    <row r="288" spans="1:32" s="115" customFormat="1" ht="16" customHeight="1">
      <c r="A288" s="273">
        <v>45700</v>
      </c>
      <c r="B288" s="109" t="s">
        <v>38</v>
      </c>
      <c r="C288" s="137" t="s">
        <v>54</v>
      </c>
      <c r="D288" s="137" t="s">
        <v>604</v>
      </c>
      <c r="E288" s="492"/>
      <c r="F288" s="109" t="s">
        <v>83</v>
      </c>
      <c r="G288" s="133">
        <v>1989</v>
      </c>
      <c r="H288" s="133">
        <f>603-55</f>
        <v>548</v>
      </c>
      <c r="I288" s="109"/>
      <c r="J288" s="109"/>
      <c r="K288" s="133"/>
      <c r="L288" s="109"/>
      <c r="M288" s="109"/>
      <c r="N288" s="109"/>
      <c r="O288" s="391"/>
      <c r="P288" s="138" t="s">
        <v>5</v>
      </c>
      <c r="Q288" s="139">
        <v>1551980</v>
      </c>
      <c r="R288" s="392">
        <v>0.15</v>
      </c>
      <c r="S288" s="393">
        <f t="shared" si="60"/>
        <v>232797</v>
      </c>
      <c r="T288" s="387">
        <f t="shared" si="61"/>
        <v>780.28154851684269</v>
      </c>
      <c r="U288" s="141">
        <f t="shared" si="53"/>
        <v>45760</v>
      </c>
      <c r="V288" s="142"/>
      <c r="W288" s="143"/>
      <c r="X288" s="476"/>
      <c r="Y288" s="135" t="str">
        <f t="shared" si="62"/>
        <v/>
      </c>
      <c r="Z288" s="426" t="str">
        <f t="shared" si="63"/>
        <v/>
      </c>
      <c r="AA288" s="136" t="str">
        <f t="shared" si="64"/>
        <v/>
      </c>
      <c r="AB288" s="185"/>
      <c r="AC288" s="185"/>
      <c r="AD288" s="185"/>
      <c r="AE288" s="185"/>
      <c r="AF288" s="185"/>
    </row>
    <row r="289" spans="1:32" s="115" customFormat="1" ht="16" customHeight="1">
      <c r="A289" s="273">
        <v>45700</v>
      </c>
      <c r="B289" s="109" t="s">
        <v>38</v>
      </c>
      <c r="C289" s="137" t="s">
        <v>54</v>
      </c>
      <c r="D289" s="137" t="s">
        <v>605</v>
      </c>
      <c r="E289" s="492"/>
      <c r="F289" s="109" t="s">
        <v>606</v>
      </c>
      <c r="G289" s="133">
        <v>1087</v>
      </c>
      <c r="H289" s="133">
        <f>280-31</f>
        <v>249</v>
      </c>
      <c r="I289" s="109"/>
      <c r="J289" s="109"/>
      <c r="K289" s="133"/>
      <c r="L289" s="109"/>
      <c r="M289" s="109"/>
      <c r="N289" s="109"/>
      <c r="O289" s="391"/>
      <c r="P289" s="138" t="s">
        <v>5</v>
      </c>
      <c r="Q289" s="139">
        <v>807100</v>
      </c>
      <c r="R289" s="392">
        <v>0.16</v>
      </c>
      <c r="S289" s="393">
        <f t="shared" si="60"/>
        <v>129136</v>
      </c>
      <c r="T289" s="387">
        <f t="shared" si="61"/>
        <v>742.50229990800369</v>
      </c>
      <c r="U289" s="141">
        <f t="shared" si="53"/>
        <v>45760</v>
      </c>
      <c r="V289" s="142"/>
      <c r="W289" s="143"/>
      <c r="X289" s="476"/>
      <c r="Y289" s="135" t="str">
        <f t="shared" si="62"/>
        <v/>
      </c>
      <c r="Z289" s="426" t="str">
        <f t="shared" si="63"/>
        <v/>
      </c>
      <c r="AA289" s="136" t="str">
        <f t="shared" si="64"/>
        <v/>
      </c>
      <c r="AB289" s="185"/>
      <c r="AC289" s="185"/>
      <c r="AD289" s="185"/>
      <c r="AE289" s="185"/>
      <c r="AF289" s="185"/>
    </row>
    <row r="290" spans="1:32" s="115" customFormat="1" ht="16" customHeight="1">
      <c r="A290" s="273">
        <v>45700</v>
      </c>
      <c r="B290" s="109" t="s">
        <v>38</v>
      </c>
      <c r="C290" s="137" t="s">
        <v>54</v>
      </c>
      <c r="D290" s="137" t="s">
        <v>607</v>
      </c>
      <c r="E290" s="492"/>
      <c r="F290" s="109" t="s">
        <v>608</v>
      </c>
      <c r="G290" s="133">
        <v>8445</v>
      </c>
      <c r="H290" s="133">
        <f>1936-76</f>
        <v>1860</v>
      </c>
      <c r="I290" s="109"/>
      <c r="J290" s="109"/>
      <c r="K290" s="133"/>
      <c r="L290" s="109"/>
      <c r="M290" s="109"/>
      <c r="N290" s="109"/>
      <c r="O290" s="391"/>
      <c r="P290" s="138" t="s">
        <v>5</v>
      </c>
      <c r="Q290" s="139">
        <v>4999630</v>
      </c>
      <c r="R290" s="392">
        <v>0.12</v>
      </c>
      <c r="S290" s="393">
        <f t="shared" si="60"/>
        <v>599955.6</v>
      </c>
      <c r="T290" s="387">
        <f t="shared" si="61"/>
        <v>592.02249851983424</v>
      </c>
      <c r="U290" s="141">
        <f t="shared" si="53"/>
        <v>45760</v>
      </c>
      <c r="V290" s="142"/>
      <c r="W290" s="143"/>
      <c r="X290" s="476"/>
      <c r="Y290" s="135" t="str">
        <f t="shared" si="62"/>
        <v/>
      </c>
      <c r="Z290" s="426" t="str">
        <f t="shared" si="63"/>
        <v/>
      </c>
      <c r="AA290" s="136" t="str">
        <f t="shared" si="64"/>
        <v/>
      </c>
      <c r="AB290" s="185"/>
      <c r="AC290" s="185"/>
      <c r="AD290" s="185"/>
      <c r="AE290" s="185"/>
      <c r="AF290" s="185"/>
    </row>
    <row r="291" spans="1:32" s="115" customFormat="1" ht="16" customHeight="1">
      <c r="A291" s="273">
        <v>45700</v>
      </c>
      <c r="B291" s="109" t="s">
        <v>38</v>
      </c>
      <c r="C291" s="137" t="s">
        <v>54</v>
      </c>
      <c r="D291" s="137" t="s">
        <v>609</v>
      </c>
      <c r="E291" s="492"/>
      <c r="F291" s="109"/>
      <c r="G291" s="133">
        <v>1961</v>
      </c>
      <c r="H291" s="133">
        <f>497-48</f>
        <v>449</v>
      </c>
      <c r="I291" s="109"/>
      <c r="J291" s="109"/>
      <c r="K291" s="133"/>
      <c r="L291" s="109"/>
      <c r="M291" s="109"/>
      <c r="N291" s="109"/>
      <c r="O291" s="391"/>
      <c r="P291" s="138" t="s">
        <v>5</v>
      </c>
      <c r="Q291" s="139">
        <v>1414260</v>
      </c>
      <c r="R291" s="392">
        <v>0.16</v>
      </c>
      <c r="S291" s="393">
        <f t="shared" si="60"/>
        <v>226281.60000000001</v>
      </c>
      <c r="T291" s="387">
        <f t="shared" si="61"/>
        <v>721.1932687404385</v>
      </c>
      <c r="U291" s="141">
        <f t="shared" si="53"/>
        <v>45760</v>
      </c>
      <c r="V291" s="142"/>
      <c r="W291" s="143"/>
      <c r="X291" s="476"/>
      <c r="Y291" s="135" t="str">
        <f t="shared" si="62"/>
        <v/>
      </c>
      <c r="Z291" s="426" t="str">
        <f t="shared" si="63"/>
        <v/>
      </c>
      <c r="AA291" s="136" t="str">
        <f t="shared" si="64"/>
        <v/>
      </c>
      <c r="AB291" s="185"/>
      <c r="AC291" s="185"/>
      <c r="AD291" s="185"/>
      <c r="AE291" s="185"/>
      <c r="AF291" s="185"/>
    </row>
    <row r="292" spans="1:32" s="115" customFormat="1" ht="16" customHeight="1">
      <c r="A292" s="273">
        <v>45705</v>
      </c>
      <c r="B292" s="109" t="s">
        <v>38</v>
      </c>
      <c r="C292" s="137" t="s">
        <v>393</v>
      </c>
      <c r="D292" s="137" t="s">
        <v>610</v>
      </c>
      <c r="E292" s="492"/>
      <c r="F292" s="109" t="s">
        <v>228</v>
      </c>
      <c r="G292" s="133">
        <v>596</v>
      </c>
      <c r="H292" s="133">
        <f>181-20</f>
        <v>161</v>
      </c>
      <c r="I292" s="109"/>
      <c r="J292" s="109"/>
      <c r="K292" s="133"/>
      <c r="L292" s="109"/>
      <c r="M292" s="109"/>
      <c r="N292" s="109"/>
      <c r="O292" s="391"/>
      <c r="P292" s="138" t="s">
        <v>5</v>
      </c>
      <c r="Q292" s="139">
        <v>551980</v>
      </c>
      <c r="R292" s="392">
        <v>0.14000000000000001</v>
      </c>
      <c r="S292" s="393">
        <f t="shared" si="60"/>
        <v>77277.200000000012</v>
      </c>
      <c r="T292" s="387">
        <f t="shared" si="61"/>
        <v>926.14093959731542</v>
      </c>
      <c r="U292" s="141">
        <f t="shared" si="53"/>
        <v>45765</v>
      </c>
      <c r="V292" s="142"/>
      <c r="W292" s="143"/>
      <c r="X292" s="476"/>
      <c r="Y292" s="135" t="str">
        <f t="shared" si="62"/>
        <v/>
      </c>
      <c r="Z292" s="426" t="str">
        <f t="shared" si="63"/>
        <v/>
      </c>
      <c r="AA292" s="136" t="str">
        <f t="shared" si="64"/>
        <v/>
      </c>
      <c r="AB292" s="185"/>
      <c r="AC292" s="185"/>
      <c r="AD292" s="185"/>
      <c r="AE292" s="185"/>
      <c r="AF292" s="185"/>
    </row>
    <row r="293" spans="1:32" s="115" customFormat="1" ht="16" customHeight="1">
      <c r="A293" s="273">
        <v>45701</v>
      </c>
      <c r="B293" s="109" t="s">
        <v>38</v>
      </c>
      <c r="C293" s="137" t="s">
        <v>611</v>
      </c>
      <c r="D293" s="137" t="s">
        <v>612</v>
      </c>
      <c r="E293" s="492"/>
      <c r="F293" s="109" t="s">
        <v>613</v>
      </c>
      <c r="G293" s="133"/>
      <c r="H293" s="133"/>
      <c r="I293" s="109"/>
      <c r="J293" s="109"/>
      <c r="K293" s="133"/>
      <c r="L293" s="109"/>
      <c r="M293" s="109"/>
      <c r="N293" s="109"/>
      <c r="O293" s="391"/>
      <c r="P293" s="138" t="s">
        <v>2</v>
      </c>
      <c r="Q293" s="139">
        <v>323660</v>
      </c>
      <c r="R293" s="392"/>
      <c r="S293" s="393"/>
      <c r="T293" s="387"/>
      <c r="U293" s="141">
        <f t="shared" si="53"/>
        <v>45761</v>
      </c>
      <c r="V293" s="142"/>
      <c r="W293" s="143"/>
      <c r="X293" s="476"/>
      <c r="Y293" s="135"/>
      <c r="Z293" s="426"/>
      <c r="AA293" s="136"/>
      <c r="AB293" s="185"/>
      <c r="AC293" s="185"/>
      <c r="AD293" s="185"/>
      <c r="AE293" s="185"/>
      <c r="AF293" s="185"/>
    </row>
    <row r="294" spans="1:32" s="115" customFormat="1" ht="16" customHeight="1">
      <c r="A294" s="273"/>
      <c r="B294" s="109" t="s">
        <v>38</v>
      </c>
      <c r="C294" s="137" t="s">
        <v>611</v>
      </c>
      <c r="D294" s="137" t="s">
        <v>614</v>
      </c>
      <c r="E294" s="492"/>
      <c r="F294" s="109"/>
      <c r="G294" s="133"/>
      <c r="H294" s="133"/>
      <c r="I294" s="109"/>
      <c r="J294" s="109"/>
      <c r="K294" s="133"/>
      <c r="L294" s="109"/>
      <c r="M294" s="109"/>
      <c r="N294" s="109"/>
      <c r="O294" s="391"/>
      <c r="P294" s="138" t="s">
        <v>2</v>
      </c>
      <c r="Q294" s="139"/>
      <c r="R294" s="392"/>
      <c r="S294" s="393"/>
      <c r="T294" s="387"/>
      <c r="U294" s="141" t="str">
        <f t="shared" si="53"/>
        <v/>
      </c>
      <c r="V294" s="142"/>
      <c r="W294" s="143"/>
      <c r="X294" s="476"/>
      <c r="Y294" s="135"/>
      <c r="Z294" s="426"/>
      <c r="AA294" s="136"/>
      <c r="AB294" s="185"/>
      <c r="AC294" s="185"/>
      <c r="AD294" s="185"/>
      <c r="AE294" s="185"/>
      <c r="AF294" s="185"/>
    </row>
    <row r="295" spans="1:32" s="115" customFormat="1" ht="16" customHeight="1">
      <c r="A295" s="273">
        <v>45701</v>
      </c>
      <c r="B295" s="109" t="s">
        <v>38</v>
      </c>
      <c r="C295" s="137" t="s">
        <v>340</v>
      </c>
      <c r="D295" s="137" t="s">
        <v>615</v>
      </c>
      <c r="E295" s="492"/>
      <c r="F295" s="109" t="s">
        <v>616</v>
      </c>
      <c r="G295" s="133">
        <v>2988</v>
      </c>
      <c r="H295" s="133">
        <f>675-40</f>
        <v>635</v>
      </c>
      <c r="I295" s="109"/>
      <c r="J295" s="109"/>
      <c r="K295" s="133"/>
      <c r="L295" s="109"/>
      <c r="M295" s="109"/>
      <c r="N295" s="109"/>
      <c r="O295" s="391"/>
      <c r="P295" s="138" t="s">
        <v>3</v>
      </c>
      <c r="Q295" s="139">
        <v>2131100</v>
      </c>
      <c r="R295" s="392">
        <v>0.16</v>
      </c>
      <c r="S295" s="393">
        <f t="shared" ref="S295:S316" si="65">Q295*R295</f>
        <v>340976</v>
      </c>
      <c r="T295" s="387">
        <f t="shared" ref="T295:T316" si="66">Q295/G295</f>
        <v>713.21954484605089</v>
      </c>
      <c r="U295" s="141">
        <f t="shared" si="53"/>
        <v>45761</v>
      </c>
      <c r="V295" s="142"/>
      <c r="W295" s="143"/>
      <c r="X295" s="476"/>
      <c r="Y295" s="135" t="str">
        <f t="shared" ref="Y295:Y316" si="67">IF(OR(P295="Ordre",P295="Ferdig"),"x","")</f>
        <v>x</v>
      </c>
      <c r="Z295" s="426" t="str">
        <f t="shared" ref="Z295:Z316" si="68">IF(P295="Ferdig","x","")</f>
        <v/>
      </c>
      <c r="AA295" s="136" t="str">
        <f t="shared" ref="AA295:AA316" si="69">IF(P295="Tapt","x","")</f>
        <v/>
      </c>
      <c r="AB295" s="185"/>
      <c r="AC295" s="185"/>
      <c r="AD295" s="185"/>
      <c r="AE295" s="185"/>
      <c r="AF295" s="185"/>
    </row>
    <row r="296" spans="1:32" s="115" customFormat="1" ht="16" customHeight="1">
      <c r="A296" s="273">
        <v>45712</v>
      </c>
      <c r="B296" s="109" t="s">
        <v>38</v>
      </c>
      <c r="C296" s="137" t="s">
        <v>294</v>
      </c>
      <c r="D296" s="137" t="s">
        <v>617</v>
      </c>
      <c r="E296" s="492"/>
      <c r="F296" s="109"/>
      <c r="G296" s="133">
        <v>612</v>
      </c>
      <c r="H296" s="133">
        <f>182-12</f>
        <v>170</v>
      </c>
      <c r="I296" s="109"/>
      <c r="J296" s="109"/>
      <c r="K296" s="133"/>
      <c r="L296" s="109"/>
      <c r="M296" s="109"/>
      <c r="N296" s="109"/>
      <c r="O296" s="391"/>
      <c r="P296" s="138" t="s">
        <v>5</v>
      </c>
      <c r="Q296" s="139">
        <v>699690</v>
      </c>
      <c r="R296" s="392">
        <v>0.123</v>
      </c>
      <c r="S296" s="393">
        <f t="shared" si="65"/>
        <v>86061.87</v>
      </c>
      <c r="T296" s="387">
        <f t="shared" si="66"/>
        <v>1143.2843137254902</v>
      </c>
      <c r="U296" s="141">
        <f t="shared" si="53"/>
        <v>45772</v>
      </c>
      <c r="V296" s="142"/>
      <c r="W296" s="143"/>
      <c r="X296" s="476"/>
      <c r="Y296" s="135" t="str">
        <f t="shared" si="67"/>
        <v/>
      </c>
      <c r="Z296" s="426" t="str">
        <f t="shared" si="68"/>
        <v/>
      </c>
      <c r="AA296" s="136" t="str">
        <f t="shared" si="69"/>
        <v/>
      </c>
      <c r="AB296" s="185"/>
      <c r="AC296" s="185"/>
      <c r="AD296" s="185"/>
      <c r="AE296" s="185"/>
      <c r="AF296" s="185"/>
    </row>
    <row r="297" spans="1:32" s="115" customFormat="1" ht="16" customHeight="1">
      <c r="A297" s="273">
        <v>45713</v>
      </c>
      <c r="B297" s="109" t="s">
        <v>38</v>
      </c>
      <c r="C297" s="137" t="s">
        <v>54</v>
      </c>
      <c r="D297" s="137" t="s">
        <v>618</v>
      </c>
      <c r="E297" s="492"/>
      <c r="F297" s="109" t="s">
        <v>619</v>
      </c>
      <c r="G297" s="133">
        <v>800</v>
      </c>
      <c r="H297" s="133">
        <f>239-26</f>
        <v>213</v>
      </c>
      <c r="I297" s="109"/>
      <c r="J297" s="109"/>
      <c r="K297" s="133"/>
      <c r="L297" s="109"/>
      <c r="M297" s="109"/>
      <c r="N297" s="109"/>
      <c r="O297" s="391"/>
      <c r="P297" s="138" t="s">
        <v>5</v>
      </c>
      <c r="Q297" s="139">
        <v>697670</v>
      </c>
      <c r="R297" s="392">
        <v>0.18</v>
      </c>
      <c r="S297" s="393">
        <f t="shared" si="65"/>
        <v>125580.59999999999</v>
      </c>
      <c r="T297" s="387">
        <f t="shared" si="66"/>
        <v>872.08749999999998</v>
      </c>
      <c r="U297" s="141">
        <f t="shared" si="53"/>
        <v>45773</v>
      </c>
      <c r="V297" s="142"/>
      <c r="W297" s="143"/>
      <c r="X297" s="476"/>
      <c r="Y297" s="135" t="str">
        <f t="shared" si="67"/>
        <v/>
      </c>
      <c r="Z297" s="426" t="str">
        <f t="shared" si="68"/>
        <v/>
      </c>
      <c r="AA297" s="136" t="str">
        <f t="shared" si="69"/>
        <v/>
      </c>
      <c r="AB297" s="185"/>
      <c r="AC297" s="185"/>
      <c r="AD297" s="185"/>
      <c r="AE297" s="185"/>
      <c r="AF297" s="185"/>
    </row>
    <row r="298" spans="1:32" s="115" customFormat="1" ht="16" customHeight="1">
      <c r="A298" s="273">
        <v>45712</v>
      </c>
      <c r="B298" s="109" t="s">
        <v>38</v>
      </c>
      <c r="C298" s="137" t="s">
        <v>54</v>
      </c>
      <c r="D298" s="137" t="s">
        <v>620</v>
      </c>
      <c r="E298" s="492"/>
      <c r="F298" s="109" t="s">
        <v>621</v>
      </c>
      <c r="G298" s="133">
        <v>8664</v>
      </c>
      <c r="H298" s="133">
        <f>1930-40</f>
        <v>1890</v>
      </c>
      <c r="I298" s="109"/>
      <c r="J298" s="109"/>
      <c r="K298" s="133"/>
      <c r="L298" s="109"/>
      <c r="M298" s="109"/>
      <c r="N298" s="109"/>
      <c r="O298" s="391"/>
      <c r="P298" s="138" t="s">
        <v>5</v>
      </c>
      <c r="Q298" s="139">
        <v>6126090</v>
      </c>
      <c r="R298" s="392">
        <v>0.12</v>
      </c>
      <c r="S298" s="393">
        <f t="shared" si="65"/>
        <v>735130.79999999993</v>
      </c>
      <c r="T298" s="387">
        <f t="shared" si="66"/>
        <v>707.07409972299172</v>
      </c>
      <c r="U298" s="141">
        <f t="shared" si="53"/>
        <v>45772</v>
      </c>
      <c r="V298" s="142"/>
      <c r="W298" s="143"/>
      <c r="X298" s="476"/>
      <c r="Y298" s="135" t="str">
        <f t="shared" si="67"/>
        <v/>
      </c>
      <c r="Z298" s="426" t="str">
        <f t="shared" si="68"/>
        <v/>
      </c>
      <c r="AA298" s="136" t="str">
        <f t="shared" si="69"/>
        <v/>
      </c>
      <c r="AB298" s="185"/>
      <c r="AC298" s="185"/>
      <c r="AD298" s="185"/>
      <c r="AE298" s="185"/>
      <c r="AF298" s="185"/>
    </row>
    <row r="299" spans="1:32" s="115" customFormat="1" ht="16" customHeight="1">
      <c r="A299" s="273">
        <v>45714</v>
      </c>
      <c r="B299" s="109" t="s">
        <v>38</v>
      </c>
      <c r="C299" s="137" t="s">
        <v>54</v>
      </c>
      <c r="D299" s="137" t="s">
        <v>622</v>
      </c>
      <c r="E299" s="492"/>
      <c r="F299" s="109" t="s">
        <v>77</v>
      </c>
      <c r="G299" s="133">
        <v>3432</v>
      </c>
      <c r="H299" s="133">
        <f>784-55</f>
        <v>729</v>
      </c>
      <c r="I299" s="109"/>
      <c r="J299" s="109"/>
      <c r="K299" s="133"/>
      <c r="L299" s="109"/>
      <c r="M299" s="109"/>
      <c r="N299" s="109"/>
      <c r="O299" s="391"/>
      <c r="P299" s="138" t="s">
        <v>5</v>
      </c>
      <c r="Q299" s="139">
        <v>2280930</v>
      </c>
      <c r="R299" s="392">
        <v>0.16</v>
      </c>
      <c r="S299" s="393">
        <f t="shared" si="65"/>
        <v>364948.8</v>
      </c>
      <c r="T299" s="387">
        <f t="shared" si="66"/>
        <v>664.6066433566433</v>
      </c>
      <c r="U299" s="141">
        <f t="shared" si="53"/>
        <v>45774</v>
      </c>
      <c r="V299" s="142"/>
      <c r="W299" s="143"/>
      <c r="X299" s="476"/>
      <c r="Y299" s="135" t="str">
        <f t="shared" si="67"/>
        <v/>
      </c>
      <c r="Z299" s="426" t="str">
        <f t="shared" si="68"/>
        <v/>
      </c>
      <c r="AA299" s="136" t="str">
        <f t="shared" si="69"/>
        <v/>
      </c>
      <c r="AB299" s="185"/>
      <c r="AC299" s="185"/>
      <c r="AD299" s="185"/>
      <c r="AE299" s="185"/>
      <c r="AF299" s="185"/>
    </row>
    <row r="300" spans="1:32" s="115" customFormat="1" ht="16" customHeight="1">
      <c r="A300" s="273">
        <v>45714</v>
      </c>
      <c r="B300" s="109" t="s">
        <v>38</v>
      </c>
      <c r="C300" s="137" t="s">
        <v>584</v>
      </c>
      <c r="D300" s="137" t="s">
        <v>623</v>
      </c>
      <c r="E300" s="492"/>
      <c r="F300" s="109" t="s">
        <v>624</v>
      </c>
      <c r="G300" s="133">
        <v>1432</v>
      </c>
      <c r="H300" s="133">
        <f>570-42</f>
        <v>528</v>
      </c>
      <c r="I300" s="109"/>
      <c r="J300" s="109"/>
      <c r="K300" s="133"/>
      <c r="L300" s="109"/>
      <c r="M300" s="109"/>
      <c r="N300" s="109"/>
      <c r="O300" s="391"/>
      <c r="P300" s="138" t="s">
        <v>5</v>
      </c>
      <c r="Q300" s="139">
        <v>1695870</v>
      </c>
      <c r="R300" s="392">
        <v>0.14699999999999999</v>
      </c>
      <c r="S300" s="393">
        <f t="shared" si="65"/>
        <v>249292.88999999998</v>
      </c>
      <c r="T300" s="387">
        <f t="shared" si="66"/>
        <v>1184.2667597765362</v>
      </c>
      <c r="U300" s="141">
        <f t="shared" ref="U300:U363" si="70">IF(A300="","",(A300+60))</f>
        <v>45774</v>
      </c>
      <c r="V300" s="142"/>
      <c r="W300" s="143"/>
      <c r="X300" s="476"/>
      <c r="Y300" s="135" t="str">
        <f t="shared" si="67"/>
        <v/>
      </c>
      <c r="Z300" s="426" t="str">
        <f t="shared" si="68"/>
        <v/>
      </c>
      <c r="AA300" s="136" t="str">
        <f t="shared" si="69"/>
        <v/>
      </c>
      <c r="AB300" s="185"/>
      <c r="AC300" s="185"/>
      <c r="AD300" s="185"/>
      <c r="AE300" s="185"/>
      <c r="AF300" s="185"/>
    </row>
    <row r="301" spans="1:32" s="115" customFormat="1" ht="16" customHeight="1">
      <c r="A301" s="273">
        <v>45713</v>
      </c>
      <c r="B301" s="109" t="s">
        <v>38</v>
      </c>
      <c r="C301" s="137" t="s">
        <v>336</v>
      </c>
      <c r="D301" s="137" t="s">
        <v>625</v>
      </c>
      <c r="E301" s="492"/>
      <c r="F301" s="109" t="s">
        <v>112</v>
      </c>
      <c r="G301" s="133">
        <v>272</v>
      </c>
      <c r="H301" s="133">
        <f>121-15</f>
        <v>106</v>
      </c>
      <c r="I301" s="109"/>
      <c r="J301" s="109"/>
      <c r="K301" s="133"/>
      <c r="L301" s="109"/>
      <c r="M301" s="109"/>
      <c r="N301" s="109"/>
      <c r="O301" s="391"/>
      <c r="P301" s="138" t="s">
        <v>5</v>
      </c>
      <c r="Q301" s="139">
        <v>382920</v>
      </c>
      <c r="R301" s="392">
        <v>0.2</v>
      </c>
      <c r="S301" s="393">
        <f t="shared" si="65"/>
        <v>76584</v>
      </c>
      <c r="T301" s="387">
        <f t="shared" si="66"/>
        <v>1407.7941176470588</v>
      </c>
      <c r="U301" s="141">
        <f t="shared" si="70"/>
        <v>45773</v>
      </c>
      <c r="V301" s="142"/>
      <c r="W301" s="143"/>
      <c r="X301" s="476"/>
      <c r="Y301" s="135" t="str">
        <f t="shared" si="67"/>
        <v/>
      </c>
      <c r="Z301" s="426" t="str">
        <f t="shared" si="68"/>
        <v/>
      </c>
      <c r="AA301" s="136" t="str">
        <f t="shared" si="69"/>
        <v/>
      </c>
      <c r="AB301" s="185"/>
      <c r="AC301" s="185"/>
      <c r="AD301" s="185"/>
      <c r="AE301" s="185"/>
      <c r="AF301" s="185"/>
    </row>
    <row r="302" spans="1:32" s="115" customFormat="1" ht="16" customHeight="1">
      <c r="A302" s="273">
        <v>45720</v>
      </c>
      <c r="B302" s="109" t="s">
        <v>38</v>
      </c>
      <c r="C302" s="137" t="s">
        <v>54</v>
      </c>
      <c r="D302" s="137" t="s">
        <v>626</v>
      </c>
      <c r="E302" s="492"/>
      <c r="F302" s="109" t="s">
        <v>627</v>
      </c>
      <c r="G302" s="133">
        <v>1840</v>
      </c>
      <c r="H302" s="133">
        <f>528-45</f>
        <v>483</v>
      </c>
      <c r="I302" s="109"/>
      <c r="J302" s="109"/>
      <c r="K302" s="133"/>
      <c r="L302" s="109"/>
      <c r="M302" s="109"/>
      <c r="N302" s="109"/>
      <c r="O302" s="391"/>
      <c r="P302" s="138" t="s">
        <v>5</v>
      </c>
      <c r="Q302" s="139">
        <v>1326660</v>
      </c>
      <c r="R302" s="392">
        <v>0.16</v>
      </c>
      <c r="S302" s="393">
        <f t="shared" si="65"/>
        <v>212265.60000000001</v>
      </c>
      <c r="T302" s="387">
        <f t="shared" si="66"/>
        <v>721.01086956521738</v>
      </c>
      <c r="U302" s="141">
        <f t="shared" si="70"/>
        <v>45780</v>
      </c>
      <c r="V302" s="142"/>
      <c r="W302" s="143"/>
      <c r="X302" s="476"/>
      <c r="Y302" s="135" t="str">
        <f t="shared" si="67"/>
        <v/>
      </c>
      <c r="Z302" s="426" t="str">
        <f t="shared" si="68"/>
        <v/>
      </c>
      <c r="AA302" s="136" t="str">
        <f t="shared" si="69"/>
        <v/>
      </c>
      <c r="AB302" s="185"/>
      <c r="AC302" s="185"/>
      <c r="AD302" s="185"/>
      <c r="AE302" s="185"/>
      <c r="AF302" s="185"/>
    </row>
    <row r="303" spans="1:32" s="115" customFormat="1" ht="16" customHeight="1">
      <c r="A303" s="273">
        <v>45723</v>
      </c>
      <c r="B303" s="109" t="s">
        <v>38</v>
      </c>
      <c r="C303" s="137" t="s">
        <v>54</v>
      </c>
      <c r="D303" s="137" t="s">
        <v>628</v>
      </c>
      <c r="E303" s="492"/>
      <c r="F303" s="109" t="s">
        <v>468</v>
      </c>
      <c r="G303" s="133">
        <v>8506</v>
      </c>
      <c r="H303" s="133">
        <f>2316-70</f>
        <v>2246</v>
      </c>
      <c r="I303" s="109"/>
      <c r="J303" s="109"/>
      <c r="K303" s="133"/>
      <c r="L303" s="109"/>
      <c r="M303" s="109"/>
      <c r="N303" s="109"/>
      <c r="O303" s="391"/>
      <c r="P303" s="138" t="s">
        <v>5</v>
      </c>
      <c r="Q303" s="139">
        <v>6992690</v>
      </c>
      <c r="R303" s="392">
        <v>0.1489</v>
      </c>
      <c r="S303" s="393">
        <f t="shared" si="65"/>
        <v>1041211.5410000001</v>
      </c>
      <c r="T303" s="387">
        <f t="shared" si="66"/>
        <v>822.08911356689396</v>
      </c>
      <c r="U303" s="141">
        <f t="shared" si="70"/>
        <v>45783</v>
      </c>
      <c r="V303" s="142"/>
      <c r="W303" s="143"/>
      <c r="X303" s="476"/>
      <c r="Y303" s="135" t="str">
        <f t="shared" si="67"/>
        <v/>
      </c>
      <c r="Z303" s="426" t="str">
        <f t="shared" si="68"/>
        <v/>
      </c>
      <c r="AA303" s="136" t="str">
        <f t="shared" si="69"/>
        <v/>
      </c>
      <c r="AB303" s="185"/>
      <c r="AC303" s="185"/>
      <c r="AD303" s="185"/>
      <c r="AE303" s="185"/>
      <c r="AF303" s="185"/>
    </row>
    <row r="304" spans="1:32" s="115" customFormat="1" ht="16" customHeight="1">
      <c r="A304" s="273">
        <v>45726</v>
      </c>
      <c r="B304" s="109" t="s">
        <v>38</v>
      </c>
      <c r="C304" s="137" t="s">
        <v>54</v>
      </c>
      <c r="D304" s="137" t="s">
        <v>629</v>
      </c>
      <c r="E304" s="492"/>
      <c r="F304" s="109" t="s">
        <v>138</v>
      </c>
      <c r="G304" s="133">
        <v>27082</v>
      </c>
      <c r="H304" s="133">
        <f>4899-50</f>
        <v>4849</v>
      </c>
      <c r="I304" s="109"/>
      <c r="J304" s="109"/>
      <c r="K304" s="133"/>
      <c r="L304" s="109"/>
      <c r="M304" s="109"/>
      <c r="N304" s="109"/>
      <c r="O304" s="391"/>
      <c r="P304" s="138" t="s">
        <v>5</v>
      </c>
      <c r="Q304" s="139">
        <v>17590830</v>
      </c>
      <c r="R304" s="392">
        <v>0.12</v>
      </c>
      <c r="S304" s="393">
        <f t="shared" si="65"/>
        <v>2110899.6</v>
      </c>
      <c r="T304" s="387">
        <f t="shared" si="66"/>
        <v>649.53954656229234</v>
      </c>
      <c r="U304" s="141">
        <f t="shared" si="70"/>
        <v>45786</v>
      </c>
      <c r="V304" s="142"/>
      <c r="W304" s="143"/>
      <c r="X304" s="476"/>
      <c r="Y304" s="135" t="str">
        <f t="shared" si="67"/>
        <v/>
      </c>
      <c r="Z304" s="426" t="str">
        <f t="shared" si="68"/>
        <v/>
      </c>
      <c r="AA304" s="136" t="str">
        <f t="shared" si="69"/>
        <v/>
      </c>
      <c r="AB304" s="185"/>
      <c r="AC304" s="185"/>
      <c r="AD304" s="185"/>
      <c r="AE304" s="185"/>
      <c r="AF304" s="185"/>
    </row>
    <row r="305" spans="1:32" s="115" customFormat="1" ht="16" customHeight="1">
      <c r="A305" s="273">
        <v>45740</v>
      </c>
      <c r="B305" s="109" t="s">
        <v>38</v>
      </c>
      <c r="C305" s="137" t="s">
        <v>54</v>
      </c>
      <c r="D305" s="137" t="s">
        <v>630</v>
      </c>
      <c r="E305" s="492"/>
      <c r="F305" s="109" t="s">
        <v>470</v>
      </c>
      <c r="G305" s="133">
        <v>22131</v>
      </c>
      <c r="H305" s="133">
        <f>4297-100</f>
        <v>4197</v>
      </c>
      <c r="I305" s="109"/>
      <c r="J305" s="109"/>
      <c r="K305" s="133"/>
      <c r="L305" s="109"/>
      <c r="M305" s="109"/>
      <c r="N305" s="109"/>
      <c r="O305" s="391"/>
      <c r="P305" s="138" t="s">
        <v>3</v>
      </c>
      <c r="Q305" s="139">
        <v>13162440</v>
      </c>
      <c r="R305" s="392">
        <v>8.8499999999999995E-2</v>
      </c>
      <c r="S305" s="393">
        <f t="shared" si="65"/>
        <v>1164875.94</v>
      </c>
      <c r="T305" s="387">
        <f t="shared" si="66"/>
        <v>594.75125389724815</v>
      </c>
      <c r="U305" s="141">
        <f t="shared" si="70"/>
        <v>45800</v>
      </c>
      <c r="V305" s="142"/>
      <c r="W305" s="143"/>
      <c r="X305" s="476"/>
      <c r="Y305" s="135" t="str">
        <f t="shared" si="67"/>
        <v>x</v>
      </c>
      <c r="Z305" s="426" t="str">
        <f t="shared" si="68"/>
        <v/>
      </c>
      <c r="AA305" s="136" t="str">
        <f t="shared" si="69"/>
        <v/>
      </c>
      <c r="AB305" s="185"/>
      <c r="AC305" s="185"/>
      <c r="AD305" s="185"/>
      <c r="AE305" s="185"/>
      <c r="AF305" s="185"/>
    </row>
    <row r="306" spans="1:32" s="115" customFormat="1" ht="16" customHeight="1">
      <c r="A306" s="273">
        <v>45721</v>
      </c>
      <c r="B306" s="109" t="s">
        <v>38</v>
      </c>
      <c r="C306" s="137" t="s">
        <v>336</v>
      </c>
      <c r="D306" s="137" t="s">
        <v>631</v>
      </c>
      <c r="E306" s="492"/>
      <c r="F306" s="109" t="s">
        <v>83</v>
      </c>
      <c r="G306" s="133">
        <v>329</v>
      </c>
      <c r="H306" s="133">
        <f>166-8</f>
        <v>158</v>
      </c>
      <c r="I306" s="109"/>
      <c r="J306" s="109"/>
      <c r="K306" s="133"/>
      <c r="L306" s="109"/>
      <c r="M306" s="109"/>
      <c r="N306" s="109"/>
      <c r="O306" s="391"/>
      <c r="P306" s="138" t="s">
        <v>5</v>
      </c>
      <c r="Q306" s="139">
        <v>462660</v>
      </c>
      <c r="R306" s="392">
        <v>0.25</v>
      </c>
      <c r="S306" s="393">
        <f t="shared" si="65"/>
        <v>115665</v>
      </c>
      <c r="T306" s="387">
        <f t="shared" si="66"/>
        <v>1406.2613981762918</v>
      </c>
      <c r="U306" s="141">
        <f t="shared" si="70"/>
        <v>45781</v>
      </c>
      <c r="V306" s="142"/>
      <c r="W306" s="143"/>
      <c r="X306" s="476"/>
      <c r="Y306" s="135" t="str">
        <f t="shared" si="67"/>
        <v/>
      </c>
      <c r="Z306" s="426" t="str">
        <f t="shared" si="68"/>
        <v/>
      </c>
      <c r="AA306" s="136" t="str">
        <f t="shared" si="69"/>
        <v/>
      </c>
      <c r="AB306" s="185"/>
      <c r="AC306" s="185"/>
      <c r="AD306" s="185"/>
      <c r="AE306" s="185"/>
      <c r="AF306" s="185"/>
    </row>
    <row r="307" spans="1:32" s="115" customFormat="1" ht="16" customHeight="1">
      <c r="A307" s="273">
        <v>45730</v>
      </c>
      <c r="B307" s="109" t="s">
        <v>38</v>
      </c>
      <c r="C307" s="137" t="s">
        <v>54</v>
      </c>
      <c r="D307" s="137" t="s">
        <v>632</v>
      </c>
      <c r="E307" s="492"/>
      <c r="F307" s="109"/>
      <c r="G307" s="133">
        <v>1266</v>
      </c>
      <c r="H307" s="133">
        <f>319-34</f>
        <v>285</v>
      </c>
      <c r="I307" s="109"/>
      <c r="J307" s="109"/>
      <c r="K307" s="133"/>
      <c r="L307" s="109"/>
      <c r="M307" s="109"/>
      <c r="N307" s="109"/>
      <c r="O307" s="391"/>
      <c r="P307" s="138" t="s">
        <v>5</v>
      </c>
      <c r="Q307" s="139">
        <v>915090</v>
      </c>
      <c r="R307" s="392">
        <v>0.16</v>
      </c>
      <c r="S307" s="393">
        <f t="shared" si="65"/>
        <v>146414.39999999999</v>
      </c>
      <c r="T307" s="387">
        <f t="shared" si="66"/>
        <v>722.81990521327009</v>
      </c>
      <c r="U307" s="141">
        <f t="shared" si="70"/>
        <v>45790</v>
      </c>
      <c r="V307" s="142"/>
      <c r="W307" s="143"/>
      <c r="X307" s="476"/>
      <c r="Y307" s="135" t="str">
        <f t="shared" si="67"/>
        <v/>
      </c>
      <c r="Z307" s="426" t="str">
        <f t="shared" si="68"/>
        <v/>
      </c>
      <c r="AA307" s="136" t="str">
        <f t="shared" si="69"/>
        <v/>
      </c>
      <c r="AB307" s="185"/>
      <c r="AC307" s="185"/>
      <c r="AD307" s="185"/>
      <c r="AE307" s="185"/>
      <c r="AF307" s="185"/>
    </row>
    <row r="308" spans="1:32" s="115" customFormat="1" ht="16" customHeight="1">
      <c r="A308" s="273">
        <v>45726</v>
      </c>
      <c r="B308" s="109" t="s">
        <v>38</v>
      </c>
      <c r="C308" s="137" t="s">
        <v>54</v>
      </c>
      <c r="D308" s="137" t="s">
        <v>633</v>
      </c>
      <c r="E308" s="492"/>
      <c r="F308" s="109" t="s">
        <v>556</v>
      </c>
      <c r="G308" s="133">
        <v>350</v>
      </c>
      <c r="H308" s="133">
        <f>107-15</f>
        <v>92</v>
      </c>
      <c r="I308" s="109"/>
      <c r="J308" s="109"/>
      <c r="K308" s="133"/>
      <c r="L308" s="109"/>
      <c r="M308" s="109"/>
      <c r="N308" s="109"/>
      <c r="O308" s="391"/>
      <c r="P308" s="138" t="s">
        <v>5</v>
      </c>
      <c r="Q308" s="139">
        <v>300280</v>
      </c>
      <c r="R308" s="392">
        <v>0.18</v>
      </c>
      <c r="S308" s="393">
        <f t="shared" si="65"/>
        <v>54050.400000000001</v>
      </c>
      <c r="T308" s="387">
        <f t="shared" si="66"/>
        <v>857.94285714285718</v>
      </c>
      <c r="U308" s="141">
        <f t="shared" si="70"/>
        <v>45786</v>
      </c>
      <c r="V308" s="142"/>
      <c r="W308" s="143"/>
      <c r="X308" s="476"/>
      <c r="Y308" s="135" t="str">
        <f t="shared" si="67"/>
        <v/>
      </c>
      <c r="Z308" s="426" t="str">
        <f t="shared" si="68"/>
        <v/>
      </c>
      <c r="AA308" s="136" t="str">
        <f t="shared" si="69"/>
        <v/>
      </c>
      <c r="AB308" s="185"/>
      <c r="AC308" s="185"/>
      <c r="AD308" s="185"/>
      <c r="AE308" s="185"/>
      <c r="AF308" s="185"/>
    </row>
    <row r="309" spans="1:32" s="115" customFormat="1" ht="16" customHeight="1">
      <c r="A309" s="273">
        <v>45721</v>
      </c>
      <c r="B309" s="109" t="s">
        <v>38</v>
      </c>
      <c r="C309" s="137" t="s">
        <v>340</v>
      </c>
      <c r="D309" s="137" t="s">
        <v>634</v>
      </c>
      <c r="E309" s="492"/>
      <c r="F309" s="109" t="s">
        <v>431</v>
      </c>
      <c r="G309" s="133">
        <v>468</v>
      </c>
      <c r="H309" s="133">
        <f>164-18</f>
        <v>146</v>
      </c>
      <c r="I309" s="109"/>
      <c r="J309" s="109"/>
      <c r="K309" s="133"/>
      <c r="L309" s="109"/>
      <c r="M309" s="109"/>
      <c r="N309" s="109"/>
      <c r="O309" s="391"/>
      <c r="P309" s="138" t="s">
        <v>5</v>
      </c>
      <c r="Q309" s="139">
        <v>445520</v>
      </c>
      <c r="R309" s="392">
        <v>0.18</v>
      </c>
      <c r="S309" s="393">
        <f t="shared" si="65"/>
        <v>80193.599999999991</v>
      </c>
      <c r="T309" s="387">
        <f t="shared" si="66"/>
        <v>951.96581196581201</v>
      </c>
      <c r="U309" s="141">
        <f t="shared" si="70"/>
        <v>45781</v>
      </c>
      <c r="V309" s="142"/>
      <c r="W309" s="143"/>
      <c r="X309" s="476"/>
      <c r="Y309" s="135" t="str">
        <f t="shared" si="67"/>
        <v/>
      </c>
      <c r="Z309" s="426" t="str">
        <f t="shared" si="68"/>
        <v/>
      </c>
      <c r="AA309" s="136" t="str">
        <f t="shared" si="69"/>
        <v/>
      </c>
      <c r="AB309" s="185"/>
      <c r="AC309" s="185"/>
      <c r="AD309" s="185"/>
      <c r="AE309" s="185"/>
      <c r="AF309" s="185"/>
    </row>
    <row r="310" spans="1:32" s="115" customFormat="1" ht="16" customHeight="1">
      <c r="A310" s="273">
        <v>45724</v>
      </c>
      <c r="B310" s="109" t="s">
        <v>38</v>
      </c>
      <c r="C310" s="137" t="s">
        <v>455</v>
      </c>
      <c r="D310" s="137" t="s">
        <v>635</v>
      </c>
      <c r="E310" s="492"/>
      <c r="F310" s="109" t="s">
        <v>61</v>
      </c>
      <c r="G310" s="133">
        <v>40</v>
      </c>
      <c r="H310" s="133"/>
      <c r="I310" s="109"/>
      <c r="J310" s="109"/>
      <c r="K310" s="133"/>
      <c r="L310" s="109"/>
      <c r="M310" s="109"/>
      <c r="N310" s="109"/>
      <c r="O310" s="391"/>
      <c r="P310" s="138" t="s">
        <v>7</v>
      </c>
      <c r="Q310" s="139">
        <v>82620</v>
      </c>
      <c r="R310" s="392">
        <v>0.2</v>
      </c>
      <c r="S310" s="393">
        <f t="shared" si="65"/>
        <v>16524</v>
      </c>
      <c r="T310" s="387">
        <f t="shared" si="66"/>
        <v>2065.5</v>
      </c>
      <c r="U310" s="141">
        <f t="shared" si="70"/>
        <v>45784</v>
      </c>
      <c r="V310" s="142"/>
      <c r="W310" s="143"/>
      <c r="X310" s="476"/>
      <c r="Y310" s="135" t="str">
        <f t="shared" si="67"/>
        <v>x</v>
      </c>
      <c r="Z310" s="426" t="str">
        <f t="shared" si="68"/>
        <v>x</v>
      </c>
      <c r="AA310" s="136" t="str">
        <f t="shared" si="69"/>
        <v/>
      </c>
      <c r="AB310" s="185"/>
      <c r="AC310" s="185"/>
      <c r="AD310" s="185"/>
      <c r="AE310" s="185"/>
      <c r="AF310" s="185"/>
    </row>
    <row r="311" spans="1:32" s="115" customFormat="1" ht="16" customHeight="1">
      <c r="A311" s="273">
        <v>45723</v>
      </c>
      <c r="B311" s="109" t="s">
        <v>38</v>
      </c>
      <c r="C311" s="137" t="s">
        <v>636</v>
      </c>
      <c r="D311" s="137" t="s">
        <v>637</v>
      </c>
      <c r="E311" s="492"/>
      <c r="F311" s="109" t="s">
        <v>638</v>
      </c>
      <c r="G311" s="133">
        <v>230</v>
      </c>
      <c r="H311" s="133">
        <v>50</v>
      </c>
      <c r="I311" s="109"/>
      <c r="J311" s="109"/>
      <c r="K311" s="133"/>
      <c r="L311" s="109"/>
      <c r="M311" s="109"/>
      <c r="N311" s="109"/>
      <c r="O311" s="391"/>
      <c r="P311" s="138" t="s">
        <v>3</v>
      </c>
      <c r="Q311" s="139">
        <v>109800</v>
      </c>
      <c r="R311" s="392">
        <v>0.18</v>
      </c>
      <c r="S311" s="393">
        <f t="shared" si="65"/>
        <v>19764</v>
      </c>
      <c r="T311" s="387">
        <f t="shared" si="66"/>
        <v>477.39130434782606</v>
      </c>
      <c r="U311" s="141">
        <f t="shared" si="70"/>
        <v>45783</v>
      </c>
      <c r="V311" s="142"/>
      <c r="W311" s="143"/>
      <c r="X311" s="476"/>
      <c r="Y311" s="135" t="str">
        <f t="shared" si="67"/>
        <v>x</v>
      </c>
      <c r="Z311" s="426" t="str">
        <f t="shared" si="68"/>
        <v/>
      </c>
      <c r="AA311" s="136" t="str">
        <f t="shared" si="69"/>
        <v/>
      </c>
      <c r="AB311" s="185"/>
      <c r="AC311" s="185"/>
      <c r="AD311" s="185"/>
      <c r="AE311" s="185"/>
      <c r="AF311" s="185"/>
    </row>
    <row r="312" spans="1:32" s="115" customFormat="1" ht="16" customHeight="1">
      <c r="A312" s="273">
        <v>45726</v>
      </c>
      <c r="B312" s="109" t="s">
        <v>38</v>
      </c>
      <c r="C312" s="137" t="s">
        <v>455</v>
      </c>
      <c r="D312" s="137" t="s">
        <v>639</v>
      </c>
      <c r="E312" s="492"/>
      <c r="F312" s="109" t="s">
        <v>265</v>
      </c>
      <c r="G312" s="133">
        <v>349</v>
      </c>
      <c r="H312" s="133">
        <f>122-17</f>
        <v>105</v>
      </c>
      <c r="I312" s="109"/>
      <c r="J312" s="109"/>
      <c r="K312" s="133"/>
      <c r="L312" s="109"/>
      <c r="M312" s="109"/>
      <c r="N312" s="109"/>
      <c r="O312" s="391"/>
      <c r="P312" s="138" t="s">
        <v>5</v>
      </c>
      <c r="Q312" s="139">
        <v>364170</v>
      </c>
      <c r="R312" s="392">
        <v>0.18</v>
      </c>
      <c r="S312" s="393">
        <f t="shared" si="65"/>
        <v>65550.599999999991</v>
      </c>
      <c r="T312" s="387">
        <f t="shared" si="66"/>
        <v>1043.4670487106018</v>
      </c>
      <c r="U312" s="141">
        <f t="shared" si="70"/>
        <v>45786</v>
      </c>
      <c r="V312" s="142"/>
      <c r="W312" s="143"/>
      <c r="X312" s="476"/>
      <c r="Y312" s="135" t="str">
        <f t="shared" si="67"/>
        <v/>
      </c>
      <c r="Z312" s="426" t="str">
        <f t="shared" si="68"/>
        <v/>
      </c>
      <c r="AA312" s="136" t="str">
        <f t="shared" si="69"/>
        <v/>
      </c>
      <c r="AB312" s="185"/>
      <c r="AC312" s="185"/>
      <c r="AD312" s="185"/>
      <c r="AE312" s="185"/>
      <c r="AF312" s="185"/>
    </row>
    <row r="313" spans="1:32" s="115" customFormat="1" ht="16" customHeight="1">
      <c r="A313" s="273">
        <v>45730</v>
      </c>
      <c r="B313" s="109" t="s">
        <v>38</v>
      </c>
      <c r="C313" s="137" t="s">
        <v>640</v>
      </c>
      <c r="D313" s="137" t="s">
        <v>641</v>
      </c>
      <c r="E313" s="492"/>
      <c r="F313" s="109" t="s">
        <v>65</v>
      </c>
      <c r="G313" s="133">
        <v>1200</v>
      </c>
      <c r="H313" s="133">
        <v>407</v>
      </c>
      <c r="I313" s="109"/>
      <c r="J313" s="109"/>
      <c r="K313" s="133"/>
      <c r="L313" s="109"/>
      <c r="M313" s="109"/>
      <c r="N313" s="109"/>
      <c r="O313" s="391"/>
      <c r="P313" s="138" t="s">
        <v>5</v>
      </c>
      <c r="Q313" s="139">
        <v>1235340</v>
      </c>
      <c r="R313" s="392">
        <v>0.2</v>
      </c>
      <c r="S313" s="393">
        <f t="shared" si="65"/>
        <v>247068</v>
      </c>
      <c r="T313" s="387">
        <f t="shared" si="66"/>
        <v>1029.45</v>
      </c>
      <c r="U313" s="141">
        <f t="shared" si="70"/>
        <v>45790</v>
      </c>
      <c r="V313" s="142"/>
      <c r="W313" s="143"/>
      <c r="X313" s="476"/>
      <c r="Y313" s="135" t="str">
        <f t="shared" si="67"/>
        <v/>
      </c>
      <c r="Z313" s="426" t="str">
        <f t="shared" si="68"/>
        <v/>
      </c>
      <c r="AA313" s="136" t="str">
        <f t="shared" si="69"/>
        <v/>
      </c>
      <c r="AB313" s="185"/>
      <c r="AC313" s="185"/>
      <c r="AD313" s="185"/>
      <c r="AE313" s="185"/>
      <c r="AF313" s="185"/>
    </row>
    <row r="314" spans="1:32" s="115" customFormat="1" ht="16" customHeight="1">
      <c r="A314" s="273">
        <v>45737</v>
      </c>
      <c r="B314" s="109" t="s">
        <v>38</v>
      </c>
      <c r="C314" s="137" t="s">
        <v>54</v>
      </c>
      <c r="D314" s="137" t="s">
        <v>642</v>
      </c>
      <c r="E314" s="492"/>
      <c r="F314" s="109" t="s">
        <v>643</v>
      </c>
      <c r="G314" s="133">
        <v>2419</v>
      </c>
      <c r="H314" s="133">
        <f>727-74</f>
        <v>653</v>
      </c>
      <c r="I314" s="109"/>
      <c r="J314" s="109"/>
      <c r="K314" s="133"/>
      <c r="L314" s="109"/>
      <c r="M314" s="109"/>
      <c r="N314" s="109"/>
      <c r="O314" s="391"/>
      <c r="P314" s="138" t="s">
        <v>5</v>
      </c>
      <c r="Q314" s="139">
        <v>1925060</v>
      </c>
      <c r="R314" s="392">
        <v>0.16</v>
      </c>
      <c r="S314" s="393">
        <f t="shared" si="65"/>
        <v>308009.60000000003</v>
      </c>
      <c r="T314" s="387">
        <f t="shared" si="66"/>
        <v>795.80818520049604</v>
      </c>
      <c r="U314" s="141">
        <f t="shared" si="70"/>
        <v>45797</v>
      </c>
      <c r="V314" s="142"/>
      <c r="W314" s="143"/>
      <c r="X314" s="476"/>
      <c r="Y314" s="135" t="str">
        <f t="shared" si="67"/>
        <v/>
      </c>
      <c r="Z314" s="426" t="str">
        <f t="shared" si="68"/>
        <v/>
      </c>
      <c r="AA314" s="136" t="str">
        <f t="shared" si="69"/>
        <v/>
      </c>
      <c r="AB314" s="185"/>
      <c r="AC314" s="185"/>
      <c r="AD314" s="185"/>
      <c r="AE314" s="185"/>
      <c r="AF314" s="185"/>
    </row>
    <row r="315" spans="1:32" s="115" customFormat="1" ht="16" customHeight="1">
      <c r="A315" s="273">
        <v>45736</v>
      </c>
      <c r="B315" s="109" t="s">
        <v>38</v>
      </c>
      <c r="C315" s="137" t="s">
        <v>54</v>
      </c>
      <c r="D315" s="137" t="s">
        <v>644</v>
      </c>
      <c r="E315" s="492"/>
      <c r="F315" s="109" t="s">
        <v>645</v>
      </c>
      <c r="G315" s="133">
        <v>2488</v>
      </c>
      <c r="H315" s="133">
        <f>582-53</f>
        <v>529</v>
      </c>
      <c r="I315" s="109"/>
      <c r="J315" s="109"/>
      <c r="K315" s="133"/>
      <c r="L315" s="109"/>
      <c r="M315" s="109"/>
      <c r="N315" s="109"/>
      <c r="O315" s="391"/>
      <c r="P315" s="138" t="s">
        <v>5</v>
      </c>
      <c r="Q315" s="139">
        <v>1715520</v>
      </c>
      <c r="R315" s="392">
        <v>0.16</v>
      </c>
      <c r="S315" s="393">
        <f t="shared" si="65"/>
        <v>274483.20000000001</v>
      </c>
      <c r="T315" s="387">
        <f t="shared" si="66"/>
        <v>689.51768488745984</v>
      </c>
      <c r="U315" s="141">
        <f t="shared" si="70"/>
        <v>45796</v>
      </c>
      <c r="V315" s="142"/>
      <c r="W315" s="143"/>
      <c r="X315" s="476"/>
      <c r="Y315" s="135" t="str">
        <f t="shared" si="67"/>
        <v/>
      </c>
      <c r="Z315" s="426" t="str">
        <f t="shared" si="68"/>
        <v/>
      </c>
      <c r="AA315" s="136" t="str">
        <f t="shared" si="69"/>
        <v/>
      </c>
      <c r="AB315" s="185"/>
      <c r="AC315" s="185"/>
      <c r="AD315" s="185"/>
      <c r="AE315" s="185"/>
      <c r="AF315" s="185"/>
    </row>
    <row r="316" spans="1:32" s="115" customFormat="1" ht="16" customHeight="1">
      <c r="A316" s="273">
        <v>45741</v>
      </c>
      <c r="B316" s="109" t="s">
        <v>38</v>
      </c>
      <c r="C316" s="137" t="s">
        <v>54</v>
      </c>
      <c r="D316" s="137" t="s">
        <v>646</v>
      </c>
      <c r="E316" s="492"/>
      <c r="F316" s="109" t="s">
        <v>647</v>
      </c>
      <c r="G316" s="133">
        <v>2615</v>
      </c>
      <c r="H316" s="133">
        <f>718-57</f>
        <v>661</v>
      </c>
      <c r="I316" s="109"/>
      <c r="J316" s="109"/>
      <c r="K316" s="133"/>
      <c r="L316" s="109"/>
      <c r="M316" s="109"/>
      <c r="N316" s="109"/>
      <c r="O316" s="391"/>
      <c r="P316" s="138" t="s">
        <v>5</v>
      </c>
      <c r="Q316" s="139">
        <v>1999680</v>
      </c>
      <c r="R316" s="392">
        <v>0.16750000000000001</v>
      </c>
      <c r="S316" s="393">
        <f t="shared" si="65"/>
        <v>334946.40000000002</v>
      </c>
      <c r="T316" s="387">
        <f t="shared" si="66"/>
        <v>764.69598470363292</v>
      </c>
      <c r="U316" s="141">
        <f t="shared" si="70"/>
        <v>45801</v>
      </c>
      <c r="V316" s="142"/>
      <c r="W316" s="143"/>
      <c r="X316" s="476"/>
      <c r="Y316" s="135" t="str">
        <f t="shared" si="67"/>
        <v/>
      </c>
      <c r="Z316" s="426" t="str">
        <f t="shared" si="68"/>
        <v/>
      </c>
      <c r="AA316" s="136" t="str">
        <f t="shared" si="69"/>
        <v/>
      </c>
      <c r="AB316" s="185"/>
      <c r="AC316" s="185"/>
      <c r="AD316" s="185"/>
      <c r="AE316" s="185"/>
      <c r="AF316" s="185"/>
    </row>
    <row r="317" spans="1:32" s="115" customFormat="1" ht="16" customHeight="1">
      <c r="A317" s="273"/>
      <c r="B317" s="109" t="s">
        <v>38</v>
      </c>
      <c r="C317" s="137" t="s">
        <v>54</v>
      </c>
      <c r="D317" s="137" t="s">
        <v>648</v>
      </c>
      <c r="E317" s="492"/>
      <c r="F317" s="109"/>
      <c r="G317" s="133"/>
      <c r="H317" s="133"/>
      <c r="I317" s="109"/>
      <c r="J317" s="109"/>
      <c r="K317" s="133"/>
      <c r="L317" s="109"/>
      <c r="M317" s="109"/>
      <c r="N317" s="109"/>
      <c r="O317" s="391"/>
      <c r="P317" s="138" t="s">
        <v>80</v>
      </c>
      <c r="Q317" s="139"/>
      <c r="R317" s="392"/>
      <c r="S317" s="393"/>
      <c r="T317" s="387"/>
      <c r="U317" s="141" t="str">
        <f t="shared" si="70"/>
        <v/>
      </c>
      <c r="V317" s="142"/>
      <c r="W317" s="143"/>
      <c r="X317" s="476"/>
      <c r="Y317" s="135"/>
      <c r="Z317" s="426"/>
      <c r="AA317" s="136"/>
      <c r="AB317" s="185"/>
      <c r="AC317" s="185"/>
      <c r="AD317" s="185"/>
      <c r="AE317" s="185"/>
      <c r="AF317" s="185"/>
    </row>
    <row r="318" spans="1:32" s="115" customFormat="1" ht="16" customHeight="1">
      <c r="A318" s="273">
        <v>45741</v>
      </c>
      <c r="B318" s="109" t="s">
        <v>38</v>
      </c>
      <c r="C318" s="137" t="s">
        <v>54</v>
      </c>
      <c r="D318" s="137" t="s">
        <v>649</v>
      </c>
      <c r="E318" s="492"/>
      <c r="F318" s="109" t="s">
        <v>542</v>
      </c>
      <c r="G318" s="133">
        <v>1841</v>
      </c>
      <c r="H318" s="133">
        <f>817-49</f>
        <v>768</v>
      </c>
      <c r="I318" s="109"/>
      <c r="J318" s="109"/>
      <c r="K318" s="133"/>
      <c r="L318" s="109"/>
      <c r="M318" s="109"/>
      <c r="N318" s="109"/>
      <c r="O318" s="391"/>
      <c r="P318" s="138" t="s">
        <v>7</v>
      </c>
      <c r="Q318" s="139">
        <v>1390110</v>
      </c>
      <c r="R318" s="392">
        <v>0.12</v>
      </c>
      <c r="S318" s="393">
        <f t="shared" ref="S318:S330" si="71">Q318*R318</f>
        <v>166813.19999999998</v>
      </c>
      <c r="T318" s="387">
        <f t="shared" ref="T318:T330" si="72">Q318/G318</f>
        <v>755.08419337316673</v>
      </c>
      <c r="U318" s="141">
        <f t="shared" si="70"/>
        <v>45801</v>
      </c>
      <c r="V318" s="142"/>
      <c r="W318" s="143"/>
      <c r="X318" s="476"/>
      <c r="Y318" s="135" t="str">
        <f t="shared" ref="Y318:Y362" si="73">IF(OR(P318="Ordre",P318="Ferdig"),"x","")</f>
        <v>x</v>
      </c>
      <c r="Z318" s="426" t="str">
        <f t="shared" ref="Z318:Z362" si="74">IF(P318="Ferdig","x","")</f>
        <v>x</v>
      </c>
      <c r="AA318" s="136" t="str">
        <f t="shared" ref="AA318:AA362" si="75">IF(P318="Tapt","x","")</f>
        <v/>
      </c>
      <c r="AB318" s="185"/>
      <c r="AC318" s="185"/>
      <c r="AD318" s="185"/>
      <c r="AE318" s="185"/>
      <c r="AF318" s="185"/>
    </row>
    <row r="319" spans="1:32" s="115" customFormat="1" ht="16" customHeight="1">
      <c r="A319" s="273">
        <v>45735</v>
      </c>
      <c r="B319" s="109" t="s">
        <v>38</v>
      </c>
      <c r="C319" s="137" t="s">
        <v>336</v>
      </c>
      <c r="D319" s="137" t="s">
        <v>650</v>
      </c>
      <c r="E319" s="492"/>
      <c r="F319" s="109"/>
      <c r="G319" s="133">
        <v>1143</v>
      </c>
      <c r="H319" s="133">
        <f>468-43</f>
        <v>425</v>
      </c>
      <c r="I319" s="109"/>
      <c r="J319" s="109"/>
      <c r="K319" s="133"/>
      <c r="L319" s="109"/>
      <c r="M319" s="109"/>
      <c r="N319" s="109"/>
      <c r="O319" s="391"/>
      <c r="P319" s="138" t="s">
        <v>5</v>
      </c>
      <c r="Q319" s="139">
        <v>1349840</v>
      </c>
      <c r="R319" s="392">
        <v>0.16</v>
      </c>
      <c r="S319" s="393">
        <f t="shared" si="71"/>
        <v>215974.39999999999</v>
      </c>
      <c r="T319" s="387">
        <f t="shared" si="72"/>
        <v>1180.9623797025372</v>
      </c>
      <c r="U319" s="141">
        <f t="shared" si="70"/>
        <v>45795</v>
      </c>
      <c r="V319" s="142"/>
      <c r="W319" s="143"/>
      <c r="X319" s="476"/>
      <c r="Y319" s="135" t="str">
        <f t="shared" si="73"/>
        <v/>
      </c>
      <c r="Z319" s="426" t="str">
        <f t="shared" si="74"/>
        <v/>
      </c>
      <c r="AA319" s="136" t="str">
        <f t="shared" si="75"/>
        <v/>
      </c>
      <c r="AB319" s="185"/>
      <c r="AC319" s="185"/>
      <c r="AD319" s="185"/>
      <c r="AE319" s="185"/>
      <c r="AF319" s="185"/>
    </row>
    <row r="320" spans="1:32" s="115" customFormat="1" ht="16" customHeight="1">
      <c r="A320" s="273">
        <v>45736</v>
      </c>
      <c r="B320" s="109" t="s">
        <v>38</v>
      </c>
      <c r="C320" s="137" t="s">
        <v>54</v>
      </c>
      <c r="D320" s="137" t="s">
        <v>651</v>
      </c>
      <c r="E320" s="492"/>
      <c r="F320" s="109" t="s">
        <v>41</v>
      </c>
      <c r="G320" s="133">
        <v>414</v>
      </c>
      <c r="H320" s="133">
        <f>123-18</f>
        <v>105</v>
      </c>
      <c r="I320" s="109"/>
      <c r="J320" s="109"/>
      <c r="K320" s="133"/>
      <c r="L320" s="109"/>
      <c r="M320" s="109"/>
      <c r="N320" s="109"/>
      <c r="O320" s="391"/>
      <c r="P320" s="138" t="s">
        <v>7</v>
      </c>
      <c r="Q320" s="139">
        <v>388180</v>
      </c>
      <c r="R320" s="392">
        <v>0.2</v>
      </c>
      <c r="S320" s="393">
        <f t="shared" si="71"/>
        <v>77636</v>
      </c>
      <c r="T320" s="387">
        <f t="shared" si="72"/>
        <v>937.63285024154584</v>
      </c>
      <c r="U320" s="141">
        <f t="shared" si="70"/>
        <v>45796</v>
      </c>
      <c r="V320" s="142"/>
      <c r="W320" s="143"/>
      <c r="X320" s="476"/>
      <c r="Y320" s="135" t="str">
        <f t="shared" si="73"/>
        <v>x</v>
      </c>
      <c r="Z320" s="426" t="str">
        <f t="shared" si="74"/>
        <v>x</v>
      </c>
      <c r="AA320" s="136" t="str">
        <f t="shared" si="75"/>
        <v/>
      </c>
      <c r="AB320" s="185"/>
      <c r="AC320" s="185"/>
      <c r="AD320" s="185"/>
      <c r="AE320" s="185"/>
      <c r="AF320" s="185"/>
    </row>
    <row r="321" spans="1:32" s="115" customFormat="1" ht="16" customHeight="1">
      <c r="A321" s="273">
        <v>45736</v>
      </c>
      <c r="B321" s="109" t="s">
        <v>38</v>
      </c>
      <c r="C321" s="137" t="s">
        <v>336</v>
      </c>
      <c r="D321" s="137" t="s">
        <v>652</v>
      </c>
      <c r="E321" s="492"/>
      <c r="F321" s="109" t="s">
        <v>653</v>
      </c>
      <c r="G321" s="133">
        <v>60</v>
      </c>
      <c r="H321" s="133">
        <f>38-6</f>
        <v>32</v>
      </c>
      <c r="I321" s="109"/>
      <c r="J321" s="109"/>
      <c r="K321" s="133"/>
      <c r="L321" s="109"/>
      <c r="M321" s="109"/>
      <c r="N321" s="109"/>
      <c r="O321" s="391"/>
      <c r="P321" s="138" t="s">
        <v>5</v>
      </c>
      <c r="Q321" s="139">
        <v>139420</v>
      </c>
      <c r="R321" s="392">
        <v>0.2</v>
      </c>
      <c r="S321" s="393">
        <f t="shared" si="71"/>
        <v>27884</v>
      </c>
      <c r="T321" s="387">
        <f t="shared" si="72"/>
        <v>2323.6666666666665</v>
      </c>
      <c r="U321" s="141">
        <f t="shared" si="70"/>
        <v>45796</v>
      </c>
      <c r="V321" s="142"/>
      <c r="W321" s="143"/>
      <c r="X321" s="476"/>
      <c r="Y321" s="135" t="str">
        <f t="shared" si="73"/>
        <v/>
      </c>
      <c r="Z321" s="426" t="str">
        <f t="shared" si="74"/>
        <v/>
      </c>
      <c r="AA321" s="136" t="str">
        <f t="shared" si="75"/>
        <v/>
      </c>
      <c r="AB321" s="185"/>
      <c r="AC321" s="185"/>
      <c r="AD321" s="185"/>
      <c r="AE321" s="185"/>
      <c r="AF321" s="185"/>
    </row>
    <row r="322" spans="1:32" s="115" customFormat="1" ht="16" customHeight="1">
      <c r="A322" s="273">
        <v>45748</v>
      </c>
      <c r="B322" s="109" t="s">
        <v>38</v>
      </c>
      <c r="C322" s="137" t="s">
        <v>54</v>
      </c>
      <c r="D322" s="137" t="s">
        <v>654</v>
      </c>
      <c r="E322" s="492"/>
      <c r="F322" s="109"/>
      <c r="G322" s="133">
        <v>5389</v>
      </c>
      <c r="H322" s="133">
        <f>1122-85</f>
        <v>1037</v>
      </c>
      <c r="I322" s="109"/>
      <c r="J322" s="109"/>
      <c r="K322" s="133"/>
      <c r="L322" s="109"/>
      <c r="M322" s="109"/>
      <c r="N322" s="109"/>
      <c r="O322" s="391"/>
      <c r="P322" s="138" t="s">
        <v>3</v>
      </c>
      <c r="Q322" s="139">
        <v>3225360</v>
      </c>
      <c r="R322" s="392">
        <v>0.14000000000000001</v>
      </c>
      <c r="S322" s="393">
        <f t="shared" si="71"/>
        <v>451550.4</v>
      </c>
      <c r="T322" s="387">
        <f t="shared" si="72"/>
        <v>598.50807199851545</v>
      </c>
      <c r="U322" s="141">
        <f t="shared" si="70"/>
        <v>45808</v>
      </c>
      <c r="V322" s="142"/>
      <c r="W322" s="143" t="s">
        <v>655</v>
      </c>
      <c r="X322" s="476"/>
      <c r="Y322" s="135" t="str">
        <f t="shared" si="73"/>
        <v>x</v>
      </c>
      <c r="Z322" s="426" t="str">
        <f t="shared" si="74"/>
        <v/>
      </c>
      <c r="AA322" s="136" t="str">
        <f t="shared" si="75"/>
        <v/>
      </c>
      <c r="AB322" s="185"/>
      <c r="AC322" s="185"/>
      <c r="AD322" s="185"/>
      <c r="AE322" s="185"/>
      <c r="AF322" s="185"/>
    </row>
    <row r="323" spans="1:32" s="115" customFormat="1" ht="16" customHeight="1">
      <c r="A323" s="273">
        <v>45742</v>
      </c>
      <c r="B323" s="109" t="s">
        <v>38</v>
      </c>
      <c r="C323" s="137" t="s">
        <v>54</v>
      </c>
      <c r="D323" s="137" t="s">
        <v>656</v>
      </c>
      <c r="E323" s="492"/>
      <c r="F323" s="109" t="s">
        <v>120</v>
      </c>
      <c r="G323" s="133">
        <v>1016</v>
      </c>
      <c r="H323" s="133">
        <f>264-26</f>
        <v>238</v>
      </c>
      <c r="I323" s="109"/>
      <c r="J323" s="109"/>
      <c r="K323" s="133"/>
      <c r="L323" s="109"/>
      <c r="M323" s="109"/>
      <c r="N323" s="109"/>
      <c r="O323" s="391"/>
      <c r="P323" s="138" t="s">
        <v>5</v>
      </c>
      <c r="Q323" s="139">
        <v>731460</v>
      </c>
      <c r="R323" s="392">
        <v>0.16</v>
      </c>
      <c r="S323" s="393">
        <f t="shared" si="71"/>
        <v>117033.60000000001</v>
      </c>
      <c r="T323" s="387">
        <f t="shared" si="72"/>
        <v>719.94094488188978</v>
      </c>
      <c r="U323" s="141">
        <f t="shared" si="70"/>
        <v>45802</v>
      </c>
      <c r="V323" s="142"/>
      <c r="W323" s="143" t="s">
        <v>299</v>
      </c>
      <c r="X323" s="476"/>
      <c r="Y323" s="135" t="str">
        <f t="shared" si="73"/>
        <v/>
      </c>
      <c r="Z323" s="426" t="str">
        <f t="shared" si="74"/>
        <v/>
      </c>
      <c r="AA323" s="136" t="str">
        <f t="shared" si="75"/>
        <v/>
      </c>
      <c r="AB323" s="185"/>
      <c r="AC323" s="185"/>
      <c r="AD323" s="185"/>
      <c r="AE323" s="185"/>
      <c r="AF323" s="185"/>
    </row>
    <row r="324" spans="1:32" s="115" customFormat="1" ht="16" customHeight="1">
      <c r="A324" s="273">
        <v>45749</v>
      </c>
      <c r="B324" s="109" t="s">
        <v>38</v>
      </c>
      <c r="C324" s="137" t="s">
        <v>54</v>
      </c>
      <c r="D324" s="137" t="s">
        <v>657</v>
      </c>
      <c r="E324" s="492"/>
      <c r="F324" s="109"/>
      <c r="G324" s="133">
        <v>3096</v>
      </c>
      <c r="H324" s="133">
        <f>1008-112</f>
        <v>896</v>
      </c>
      <c r="I324" s="109"/>
      <c r="J324" s="109"/>
      <c r="K324" s="133"/>
      <c r="L324" s="109"/>
      <c r="M324" s="109"/>
      <c r="N324" s="109"/>
      <c r="O324" s="391"/>
      <c r="P324" s="138" t="s">
        <v>3</v>
      </c>
      <c r="Q324" s="139">
        <v>3253100</v>
      </c>
      <c r="R324" s="392">
        <v>0.15210000000000001</v>
      </c>
      <c r="S324" s="393">
        <f t="shared" si="71"/>
        <v>494796.51000000007</v>
      </c>
      <c r="T324" s="387">
        <f t="shared" si="72"/>
        <v>1050.7428940568475</v>
      </c>
      <c r="U324" s="141">
        <f t="shared" si="70"/>
        <v>45809</v>
      </c>
      <c r="V324" s="142"/>
      <c r="W324" s="143"/>
      <c r="X324" s="476"/>
      <c r="Y324" s="135" t="str">
        <f t="shared" si="73"/>
        <v>x</v>
      </c>
      <c r="Z324" s="426" t="str">
        <f t="shared" si="74"/>
        <v/>
      </c>
      <c r="AA324" s="136" t="str">
        <f t="shared" si="75"/>
        <v/>
      </c>
      <c r="AB324" s="185"/>
      <c r="AC324" s="185"/>
      <c r="AD324" s="185"/>
      <c r="AE324" s="185"/>
      <c r="AF324" s="185"/>
    </row>
    <row r="325" spans="1:32" s="115" customFormat="1" ht="16" customHeight="1">
      <c r="A325" s="273">
        <v>45750</v>
      </c>
      <c r="B325" s="109" t="s">
        <v>38</v>
      </c>
      <c r="C325" s="137" t="s">
        <v>54</v>
      </c>
      <c r="D325" s="137" t="s">
        <v>658</v>
      </c>
      <c r="E325" s="492"/>
      <c r="F325" s="109" t="s">
        <v>470</v>
      </c>
      <c r="G325" s="133">
        <v>3008</v>
      </c>
      <c r="H325" s="133">
        <f>713-71</f>
        <v>642</v>
      </c>
      <c r="I325" s="109"/>
      <c r="J325" s="109"/>
      <c r="K325" s="133"/>
      <c r="L325" s="109"/>
      <c r="M325" s="109"/>
      <c r="N325" s="109"/>
      <c r="O325" s="391"/>
      <c r="P325" s="138" t="s">
        <v>3</v>
      </c>
      <c r="Q325" s="139">
        <v>1965460</v>
      </c>
      <c r="R325" s="392">
        <v>0.14000000000000001</v>
      </c>
      <c r="S325" s="393">
        <f t="shared" si="71"/>
        <v>275164.40000000002</v>
      </c>
      <c r="T325" s="387">
        <f t="shared" si="72"/>
        <v>653.41090425531911</v>
      </c>
      <c r="U325" s="141">
        <f t="shared" si="70"/>
        <v>45810</v>
      </c>
      <c r="V325" s="142"/>
      <c r="W325" s="143"/>
      <c r="X325" s="476"/>
      <c r="Y325" s="135" t="str">
        <f t="shared" si="73"/>
        <v>x</v>
      </c>
      <c r="Z325" s="426" t="str">
        <f t="shared" si="74"/>
        <v/>
      </c>
      <c r="AA325" s="136" t="str">
        <f t="shared" si="75"/>
        <v/>
      </c>
      <c r="AB325" s="185"/>
      <c r="AC325" s="185"/>
      <c r="AD325" s="185"/>
      <c r="AE325" s="185"/>
      <c r="AF325" s="185"/>
    </row>
    <row r="326" spans="1:32" s="115" customFormat="1" ht="16" customHeight="1">
      <c r="A326" s="273">
        <v>45756</v>
      </c>
      <c r="B326" s="109" t="s">
        <v>38</v>
      </c>
      <c r="C326" s="137" t="s">
        <v>455</v>
      </c>
      <c r="D326" s="137" t="s">
        <v>659</v>
      </c>
      <c r="E326" s="492"/>
      <c r="F326" s="109"/>
      <c r="G326" s="133">
        <v>1657</v>
      </c>
      <c r="H326" s="133">
        <f>531-66</f>
        <v>465</v>
      </c>
      <c r="I326" s="109"/>
      <c r="J326" s="109"/>
      <c r="K326" s="133"/>
      <c r="L326" s="109"/>
      <c r="M326" s="109"/>
      <c r="N326" s="109"/>
      <c r="O326" s="391"/>
      <c r="P326" s="138" t="s">
        <v>5</v>
      </c>
      <c r="Q326" s="139">
        <v>1480770</v>
      </c>
      <c r="R326" s="392">
        <v>0.16</v>
      </c>
      <c r="S326" s="393">
        <f t="shared" si="71"/>
        <v>236923.2</v>
      </c>
      <c r="T326" s="387">
        <f t="shared" si="72"/>
        <v>893.64514182257096</v>
      </c>
      <c r="U326" s="141">
        <f t="shared" si="70"/>
        <v>45816</v>
      </c>
      <c r="V326" s="142"/>
      <c r="W326" s="143"/>
      <c r="X326" s="476"/>
      <c r="Y326" s="135" t="str">
        <f t="shared" si="73"/>
        <v/>
      </c>
      <c r="Z326" s="426" t="str">
        <f t="shared" si="74"/>
        <v/>
      </c>
      <c r="AA326" s="136" t="str">
        <f t="shared" si="75"/>
        <v/>
      </c>
      <c r="AB326" s="185"/>
      <c r="AC326" s="185"/>
      <c r="AD326" s="185"/>
      <c r="AE326" s="185"/>
      <c r="AF326" s="185"/>
    </row>
    <row r="327" spans="1:32" s="115" customFormat="1" ht="16" customHeight="1">
      <c r="A327" s="273">
        <v>45749</v>
      </c>
      <c r="B327" s="109" t="s">
        <v>38</v>
      </c>
      <c r="C327" s="137" t="s">
        <v>294</v>
      </c>
      <c r="D327" s="137" t="s">
        <v>660</v>
      </c>
      <c r="E327" s="492"/>
      <c r="F327" s="109" t="s">
        <v>298</v>
      </c>
      <c r="G327" s="133">
        <v>864</v>
      </c>
      <c r="H327" s="133">
        <f>218-24</f>
        <v>194</v>
      </c>
      <c r="I327" s="109"/>
      <c r="J327" s="109"/>
      <c r="K327" s="133"/>
      <c r="L327" s="109"/>
      <c r="M327" s="109"/>
      <c r="N327" s="109"/>
      <c r="O327" s="391"/>
      <c r="P327" s="138" t="s">
        <v>5</v>
      </c>
      <c r="Q327" s="139">
        <v>678180</v>
      </c>
      <c r="R327" s="392">
        <v>0.1</v>
      </c>
      <c r="S327" s="393">
        <f t="shared" si="71"/>
        <v>67818</v>
      </c>
      <c r="T327" s="387">
        <f t="shared" si="72"/>
        <v>784.93055555555554</v>
      </c>
      <c r="U327" s="141">
        <f t="shared" si="70"/>
        <v>45809</v>
      </c>
      <c r="V327" s="142"/>
      <c r="W327" s="143"/>
      <c r="X327" s="476"/>
      <c r="Y327" s="135" t="str">
        <f t="shared" si="73"/>
        <v/>
      </c>
      <c r="Z327" s="426" t="str">
        <f t="shared" si="74"/>
        <v/>
      </c>
      <c r="AA327" s="136" t="str">
        <f t="shared" si="75"/>
        <v/>
      </c>
      <c r="AB327" s="185"/>
      <c r="AC327" s="185"/>
      <c r="AD327" s="185"/>
      <c r="AE327" s="185"/>
      <c r="AF327" s="185"/>
    </row>
    <row r="328" spans="1:32" s="115" customFormat="1" ht="16" customHeight="1">
      <c r="A328" s="273">
        <v>45750</v>
      </c>
      <c r="B328" s="109" t="s">
        <v>38</v>
      </c>
      <c r="C328" s="137" t="s">
        <v>54</v>
      </c>
      <c r="D328" s="137" t="s">
        <v>661</v>
      </c>
      <c r="E328" s="492"/>
      <c r="F328" s="109" t="s">
        <v>50</v>
      </c>
      <c r="G328" s="133">
        <v>1002</v>
      </c>
      <c r="H328" s="133">
        <f>279-36</f>
        <v>243</v>
      </c>
      <c r="I328" s="109"/>
      <c r="J328" s="109"/>
      <c r="K328" s="133"/>
      <c r="L328" s="109"/>
      <c r="M328" s="109"/>
      <c r="N328" s="109"/>
      <c r="O328" s="391"/>
      <c r="P328" s="138" t="s">
        <v>5</v>
      </c>
      <c r="Q328" s="139">
        <v>771330</v>
      </c>
      <c r="R328" s="392">
        <v>0.12</v>
      </c>
      <c r="S328" s="393">
        <f t="shared" si="71"/>
        <v>92559.599999999991</v>
      </c>
      <c r="T328" s="387">
        <f t="shared" si="72"/>
        <v>769.7904191616766</v>
      </c>
      <c r="U328" s="141">
        <f t="shared" si="70"/>
        <v>45810</v>
      </c>
      <c r="V328" s="142"/>
      <c r="W328" s="143"/>
      <c r="X328" s="476"/>
      <c r="Y328" s="135" t="str">
        <f t="shared" si="73"/>
        <v/>
      </c>
      <c r="Z328" s="426" t="str">
        <f t="shared" si="74"/>
        <v/>
      </c>
      <c r="AA328" s="136" t="str">
        <f t="shared" si="75"/>
        <v/>
      </c>
      <c r="AB328" s="185"/>
      <c r="AC328" s="185"/>
      <c r="AD328" s="185"/>
      <c r="AE328" s="185"/>
      <c r="AF328" s="185"/>
    </row>
    <row r="329" spans="1:32" s="115" customFormat="1" ht="16" customHeight="1">
      <c r="A329" s="273">
        <v>45751</v>
      </c>
      <c r="B329" s="109" t="s">
        <v>38</v>
      </c>
      <c r="C329" s="137" t="s">
        <v>662</v>
      </c>
      <c r="D329" s="137" t="s">
        <v>663</v>
      </c>
      <c r="E329" s="492"/>
      <c r="F329" s="109" t="s">
        <v>199</v>
      </c>
      <c r="G329" s="133">
        <v>1060</v>
      </c>
      <c r="H329" s="133">
        <f>232-28</f>
        <v>204</v>
      </c>
      <c r="I329" s="109"/>
      <c r="J329" s="109"/>
      <c r="K329" s="133"/>
      <c r="L329" s="109"/>
      <c r="M329" s="109"/>
      <c r="N329" s="109"/>
      <c r="O329" s="391"/>
      <c r="P329" s="138" t="s">
        <v>3</v>
      </c>
      <c r="Q329" s="139">
        <v>891090</v>
      </c>
      <c r="R329" s="392">
        <v>0.2</v>
      </c>
      <c r="S329" s="393">
        <f t="shared" si="71"/>
        <v>178218</v>
      </c>
      <c r="T329" s="387">
        <f t="shared" si="72"/>
        <v>840.65094339622647</v>
      </c>
      <c r="U329" s="141">
        <f t="shared" si="70"/>
        <v>45811</v>
      </c>
      <c r="V329" s="142"/>
      <c r="W329" s="143"/>
      <c r="X329" s="476"/>
      <c r="Y329" s="135" t="str">
        <f t="shared" si="73"/>
        <v>x</v>
      </c>
      <c r="Z329" s="426" t="str">
        <f t="shared" si="74"/>
        <v/>
      </c>
      <c r="AA329" s="136" t="str">
        <f t="shared" si="75"/>
        <v/>
      </c>
      <c r="AB329" s="185"/>
      <c r="AC329" s="185"/>
      <c r="AD329" s="185"/>
      <c r="AE329" s="185"/>
      <c r="AF329" s="185"/>
    </row>
    <row r="330" spans="1:32" s="115" customFormat="1" ht="16" customHeight="1">
      <c r="A330" s="273">
        <v>45751</v>
      </c>
      <c r="B330" s="109" t="s">
        <v>38</v>
      </c>
      <c r="C330" s="137" t="s">
        <v>340</v>
      </c>
      <c r="D330" s="137" t="s">
        <v>664</v>
      </c>
      <c r="E330" s="492"/>
      <c r="F330" s="109" t="s">
        <v>665</v>
      </c>
      <c r="G330" s="133">
        <v>550</v>
      </c>
      <c r="H330" s="133">
        <f>183-34</f>
        <v>149</v>
      </c>
      <c r="I330" s="109"/>
      <c r="J330" s="109"/>
      <c r="K330" s="133"/>
      <c r="L330" s="109"/>
      <c r="M330" s="109"/>
      <c r="N330" s="109"/>
      <c r="O330" s="391"/>
      <c r="P330" s="138" t="s">
        <v>5</v>
      </c>
      <c r="Q330" s="139">
        <v>533690</v>
      </c>
      <c r="R330" s="392">
        <v>0.16</v>
      </c>
      <c r="S330" s="393">
        <f t="shared" si="71"/>
        <v>85390.400000000009</v>
      </c>
      <c r="T330" s="387">
        <f t="shared" si="72"/>
        <v>970.34545454545457</v>
      </c>
      <c r="U330" s="141">
        <f t="shared" si="70"/>
        <v>45811</v>
      </c>
      <c r="V330" s="142"/>
      <c r="W330" s="143"/>
      <c r="X330" s="476"/>
      <c r="Y330" s="135" t="str">
        <f t="shared" si="73"/>
        <v/>
      </c>
      <c r="Z330" s="426" t="str">
        <f t="shared" si="74"/>
        <v/>
      </c>
      <c r="AA330" s="136" t="str">
        <f t="shared" si="75"/>
        <v/>
      </c>
      <c r="AB330" s="185"/>
      <c r="AC330" s="185"/>
      <c r="AD330" s="185"/>
      <c r="AE330" s="185"/>
      <c r="AF330" s="185"/>
    </row>
    <row r="331" spans="1:32" s="115" customFormat="1" ht="16" customHeight="1">
      <c r="A331" s="273"/>
      <c r="B331" s="109" t="s">
        <v>38</v>
      </c>
      <c r="C331" s="137" t="s">
        <v>340</v>
      </c>
      <c r="D331" s="137" t="s">
        <v>666</v>
      </c>
      <c r="E331" s="492" t="s">
        <v>422</v>
      </c>
      <c r="F331" s="109"/>
      <c r="G331" s="133"/>
      <c r="H331" s="133"/>
      <c r="I331" s="109"/>
      <c r="J331" s="109"/>
      <c r="K331" s="133"/>
      <c r="L331" s="109"/>
      <c r="M331" s="109"/>
      <c r="N331" s="109"/>
      <c r="O331" s="391"/>
      <c r="P331" s="138" t="s">
        <v>80</v>
      </c>
      <c r="Q331" s="139"/>
      <c r="R331" s="392"/>
      <c r="S331" s="393"/>
      <c r="T331" s="387"/>
      <c r="U331" s="141" t="str">
        <f t="shared" si="70"/>
        <v/>
      </c>
      <c r="V331" s="142"/>
      <c r="W331" s="143"/>
      <c r="X331" s="476"/>
      <c r="Y331" s="135" t="str">
        <f t="shared" si="73"/>
        <v/>
      </c>
      <c r="Z331" s="426" t="str">
        <f t="shared" si="74"/>
        <v/>
      </c>
      <c r="AA331" s="136" t="str">
        <f t="shared" si="75"/>
        <v/>
      </c>
      <c r="AB331" s="185"/>
      <c r="AC331" s="185"/>
      <c r="AD331" s="185"/>
      <c r="AE331" s="185"/>
      <c r="AF331" s="185"/>
    </row>
    <row r="332" spans="1:32" s="115" customFormat="1" ht="16" customHeight="1">
      <c r="A332" s="273">
        <v>45757</v>
      </c>
      <c r="B332" s="109" t="s">
        <v>38</v>
      </c>
      <c r="C332" s="137" t="s">
        <v>54</v>
      </c>
      <c r="D332" s="137" t="s">
        <v>667</v>
      </c>
      <c r="E332" s="492"/>
      <c r="F332" s="109"/>
      <c r="G332" s="133">
        <v>695</v>
      </c>
      <c r="H332" s="133">
        <f>208-22</f>
        <v>186</v>
      </c>
      <c r="I332" s="109"/>
      <c r="J332" s="109"/>
      <c r="K332" s="133"/>
      <c r="L332" s="109"/>
      <c r="M332" s="109"/>
      <c r="N332" s="109"/>
      <c r="O332" s="391"/>
      <c r="P332" s="138" t="s">
        <v>3</v>
      </c>
      <c r="Q332" s="139">
        <v>593300</v>
      </c>
      <c r="R332" s="392">
        <v>0.16</v>
      </c>
      <c r="S332" s="393">
        <f t="shared" ref="S332:S344" si="76">Q332*R332</f>
        <v>94928</v>
      </c>
      <c r="T332" s="387">
        <f t="shared" ref="T332:T344" si="77">Q332/G332</f>
        <v>853.66906474820144</v>
      </c>
      <c r="U332" s="141">
        <f t="shared" si="70"/>
        <v>45817</v>
      </c>
      <c r="V332" s="142"/>
      <c r="W332" s="143"/>
      <c r="X332" s="476"/>
      <c r="Y332" s="135" t="str">
        <f t="shared" si="73"/>
        <v>x</v>
      </c>
      <c r="Z332" s="426" t="str">
        <f t="shared" si="74"/>
        <v/>
      </c>
      <c r="AA332" s="136" t="str">
        <f t="shared" si="75"/>
        <v/>
      </c>
      <c r="AB332" s="185"/>
      <c r="AC332" s="185"/>
      <c r="AD332" s="185"/>
      <c r="AE332" s="185"/>
      <c r="AF332" s="185"/>
    </row>
    <row r="333" spans="1:32" s="115" customFormat="1" ht="16" customHeight="1">
      <c r="A333" s="273">
        <v>45771</v>
      </c>
      <c r="B333" s="109" t="s">
        <v>38</v>
      </c>
      <c r="C333" s="137" t="s">
        <v>54</v>
      </c>
      <c r="D333" s="137" t="s">
        <v>668</v>
      </c>
      <c r="E333" s="492"/>
      <c r="F333" s="109"/>
      <c r="G333" s="133">
        <v>2325</v>
      </c>
      <c r="H333" s="133">
        <f>590-48</f>
        <v>542</v>
      </c>
      <c r="I333" s="109"/>
      <c r="J333" s="109"/>
      <c r="K333" s="133"/>
      <c r="L333" s="109"/>
      <c r="M333" s="109"/>
      <c r="N333" s="109"/>
      <c r="O333" s="391"/>
      <c r="P333" s="138" t="s">
        <v>5</v>
      </c>
      <c r="Q333" s="139">
        <v>1678790</v>
      </c>
      <c r="R333" s="392">
        <v>0.16</v>
      </c>
      <c r="S333" s="393">
        <f t="shared" si="76"/>
        <v>268606.40000000002</v>
      </c>
      <c r="T333" s="387">
        <f t="shared" si="77"/>
        <v>722.06021505376339</v>
      </c>
      <c r="U333" s="141">
        <f t="shared" si="70"/>
        <v>45831</v>
      </c>
      <c r="V333" s="142"/>
      <c r="W333" s="143"/>
      <c r="X333" s="476"/>
      <c r="Y333" s="135" t="str">
        <f t="shared" si="73"/>
        <v/>
      </c>
      <c r="Z333" s="426" t="str">
        <f t="shared" si="74"/>
        <v/>
      </c>
      <c r="AA333" s="136" t="str">
        <f t="shared" si="75"/>
        <v/>
      </c>
      <c r="AB333" s="185"/>
      <c r="AC333" s="185"/>
      <c r="AD333" s="185"/>
      <c r="AE333" s="185"/>
      <c r="AF333" s="185"/>
    </row>
    <row r="334" spans="1:32" s="115" customFormat="1" ht="16" customHeight="1">
      <c r="A334" s="273">
        <v>45981</v>
      </c>
      <c r="B334" s="109" t="s">
        <v>38</v>
      </c>
      <c r="C334" s="137" t="s">
        <v>54</v>
      </c>
      <c r="D334" s="137" t="s">
        <v>669</v>
      </c>
      <c r="E334" s="492"/>
      <c r="F334" s="109"/>
      <c r="G334" s="133">
        <v>9484</v>
      </c>
      <c r="H334" s="133">
        <f>2343-100</f>
        <v>2243</v>
      </c>
      <c r="I334" s="109"/>
      <c r="J334" s="109"/>
      <c r="K334" s="133"/>
      <c r="L334" s="109"/>
      <c r="M334" s="109"/>
      <c r="N334" s="109"/>
      <c r="O334" s="391"/>
      <c r="P334" s="138" t="s">
        <v>5</v>
      </c>
      <c r="Q334" s="139">
        <v>8688430</v>
      </c>
      <c r="R334" s="392">
        <v>0.13200000000000001</v>
      </c>
      <c r="S334" s="393">
        <f t="shared" si="76"/>
        <v>1146872.76</v>
      </c>
      <c r="T334" s="387">
        <f t="shared" si="77"/>
        <v>916.11450864614085</v>
      </c>
      <c r="U334" s="141">
        <f t="shared" si="70"/>
        <v>46041</v>
      </c>
      <c r="V334" s="142"/>
      <c r="W334" s="143"/>
      <c r="X334" s="476"/>
      <c r="Y334" s="135" t="str">
        <f t="shared" si="73"/>
        <v/>
      </c>
      <c r="Z334" s="426" t="str">
        <f t="shared" si="74"/>
        <v/>
      </c>
      <c r="AA334" s="136" t="str">
        <f t="shared" si="75"/>
        <v/>
      </c>
      <c r="AB334" s="185"/>
      <c r="AC334" s="185"/>
      <c r="AD334" s="185"/>
      <c r="AE334" s="185"/>
      <c r="AF334" s="185"/>
    </row>
    <row r="335" spans="1:32" s="115" customFormat="1" ht="16" customHeight="1">
      <c r="A335" s="273">
        <v>45796</v>
      </c>
      <c r="B335" s="109" t="s">
        <v>38</v>
      </c>
      <c r="C335" s="137" t="s">
        <v>54</v>
      </c>
      <c r="D335" s="137" t="s">
        <v>670</v>
      </c>
      <c r="E335" s="492"/>
      <c r="F335" s="109" t="s">
        <v>112</v>
      </c>
      <c r="G335" s="133">
        <v>1774</v>
      </c>
      <c r="H335" s="133"/>
      <c r="I335" s="109"/>
      <c r="J335" s="109"/>
      <c r="K335" s="133"/>
      <c r="L335" s="109"/>
      <c r="M335" s="109"/>
      <c r="N335" s="109"/>
      <c r="O335" s="391"/>
      <c r="P335" s="138" t="s">
        <v>3</v>
      </c>
      <c r="Q335" s="139">
        <v>2158860</v>
      </c>
      <c r="R335" s="392">
        <v>0.15</v>
      </c>
      <c r="S335" s="393">
        <f t="shared" si="76"/>
        <v>323829</v>
      </c>
      <c r="T335" s="387">
        <f t="shared" si="77"/>
        <v>1216.944757609921</v>
      </c>
      <c r="U335" s="141">
        <f t="shared" si="70"/>
        <v>45856</v>
      </c>
      <c r="V335" s="142"/>
      <c r="W335" s="143"/>
      <c r="X335" s="476"/>
      <c r="Y335" s="135" t="str">
        <f t="shared" si="73"/>
        <v>x</v>
      </c>
      <c r="Z335" s="426" t="str">
        <f t="shared" si="74"/>
        <v/>
      </c>
      <c r="AA335" s="136" t="str">
        <f t="shared" si="75"/>
        <v/>
      </c>
      <c r="AB335" s="185"/>
      <c r="AC335" s="185"/>
      <c r="AD335" s="185"/>
      <c r="AE335" s="185"/>
      <c r="AF335" s="185"/>
    </row>
    <row r="336" spans="1:32" s="115" customFormat="1" ht="16" customHeight="1">
      <c r="A336" s="273">
        <v>45799</v>
      </c>
      <c r="B336" s="109" t="s">
        <v>38</v>
      </c>
      <c r="C336" s="137" t="s">
        <v>54</v>
      </c>
      <c r="D336" s="137" t="s">
        <v>671</v>
      </c>
      <c r="E336" s="492"/>
      <c r="F336" s="109" t="s">
        <v>50</v>
      </c>
      <c r="G336" s="133">
        <v>8181</v>
      </c>
      <c r="H336" s="133">
        <f>1767-92</f>
        <v>1675</v>
      </c>
      <c r="I336" s="109"/>
      <c r="J336" s="109"/>
      <c r="K336" s="133"/>
      <c r="L336" s="109"/>
      <c r="M336" s="109"/>
      <c r="N336" s="109"/>
      <c r="O336" s="391"/>
      <c r="P336" s="138" t="s">
        <v>5</v>
      </c>
      <c r="Q336" s="139">
        <v>4754530</v>
      </c>
      <c r="R336" s="392">
        <v>0.08</v>
      </c>
      <c r="S336" s="393">
        <f t="shared" si="76"/>
        <v>380362.4</v>
      </c>
      <c r="T336" s="387">
        <f t="shared" si="77"/>
        <v>581.16733895611787</v>
      </c>
      <c r="U336" s="141">
        <f t="shared" si="70"/>
        <v>45859</v>
      </c>
      <c r="V336" s="142"/>
      <c r="W336" s="143"/>
      <c r="X336" s="476"/>
      <c r="Y336" s="135" t="str">
        <f t="shared" si="73"/>
        <v/>
      </c>
      <c r="Z336" s="426" t="str">
        <f t="shared" si="74"/>
        <v/>
      </c>
      <c r="AA336" s="136" t="str">
        <f t="shared" si="75"/>
        <v/>
      </c>
      <c r="AB336" s="185"/>
      <c r="AC336" s="185"/>
      <c r="AD336" s="185"/>
      <c r="AE336" s="185"/>
      <c r="AF336" s="185"/>
    </row>
    <row r="337" spans="1:32" s="115" customFormat="1" ht="16" customHeight="1">
      <c r="A337" s="273">
        <v>45777</v>
      </c>
      <c r="B337" s="109" t="s">
        <v>38</v>
      </c>
      <c r="C337" s="137" t="s">
        <v>455</v>
      </c>
      <c r="D337" s="137" t="s">
        <v>672</v>
      </c>
      <c r="E337" s="492"/>
      <c r="F337" s="109" t="s">
        <v>673</v>
      </c>
      <c r="G337" s="133">
        <v>1155</v>
      </c>
      <c r="H337" s="133">
        <f>343-35</f>
        <v>308</v>
      </c>
      <c r="I337" s="109"/>
      <c r="J337" s="109"/>
      <c r="K337" s="133"/>
      <c r="L337" s="109"/>
      <c r="M337" s="109"/>
      <c r="N337" s="109"/>
      <c r="O337" s="391"/>
      <c r="P337" s="138" t="s">
        <v>5</v>
      </c>
      <c r="Q337" s="139">
        <v>1357960</v>
      </c>
      <c r="R337" s="392">
        <v>0.18</v>
      </c>
      <c r="S337" s="393">
        <f t="shared" si="76"/>
        <v>244432.8</v>
      </c>
      <c r="T337" s="387">
        <f t="shared" si="77"/>
        <v>1175.7229437229437</v>
      </c>
      <c r="U337" s="141">
        <f t="shared" si="70"/>
        <v>45837</v>
      </c>
      <c r="V337" s="142"/>
      <c r="W337" s="143"/>
      <c r="X337" s="476"/>
      <c r="Y337" s="135" t="str">
        <f t="shared" si="73"/>
        <v/>
      </c>
      <c r="Z337" s="426" t="str">
        <f t="shared" si="74"/>
        <v/>
      </c>
      <c r="AA337" s="136" t="str">
        <f t="shared" si="75"/>
        <v/>
      </c>
      <c r="AB337" s="185"/>
      <c r="AC337" s="185"/>
      <c r="AD337" s="185"/>
      <c r="AE337" s="185"/>
      <c r="AF337" s="185"/>
    </row>
    <row r="338" spans="1:32" s="115" customFormat="1" ht="16" customHeight="1">
      <c r="A338" s="273">
        <v>45769</v>
      </c>
      <c r="B338" s="109" t="s">
        <v>38</v>
      </c>
      <c r="C338" s="137" t="s">
        <v>336</v>
      </c>
      <c r="D338" s="137" t="s">
        <v>674</v>
      </c>
      <c r="E338" s="492"/>
      <c r="F338" s="109" t="s">
        <v>41</v>
      </c>
      <c r="G338" s="133">
        <v>334</v>
      </c>
      <c r="H338" s="133">
        <f>159-20</f>
        <v>139</v>
      </c>
      <c r="I338" s="109"/>
      <c r="J338" s="109"/>
      <c r="K338" s="133"/>
      <c r="L338" s="109"/>
      <c r="M338" s="109"/>
      <c r="N338" s="109"/>
      <c r="O338" s="391"/>
      <c r="P338" s="138" t="s">
        <v>3</v>
      </c>
      <c r="Q338" s="139">
        <v>415000</v>
      </c>
      <c r="R338" s="392">
        <v>0.16420000000000001</v>
      </c>
      <c r="S338" s="393">
        <f t="shared" si="76"/>
        <v>68143</v>
      </c>
      <c r="T338" s="387">
        <f t="shared" si="77"/>
        <v>1242.5149700598802</v>
      </c>
      <c r="U338" s="141">
        <f t="shared" si="70"/>
        <v>45829</v>
      </c>
      <c r="V338" s="142"/>
      <c r="W338" s="143"/>
      <c r="X338" s="476"/>
      <c r="Y338" s="135" t="str">
        <f t="shared" si="73"/>
        <v>x</v>
      </c>
      <c r="Z338" s="426" t="str">
        <f t="shared" si="74"/>
        <v/>
      </c>
      <c r="AA338" s="136" t="str">
        <f t="shared" si="75"/>
        <v/>
      </c>
      <c r="AB338" s="185"/>
      <c r="AC338" s="185"/>
      <c r="AD338" s="185"/>
      <c r="AE338" s="185"/>
      <c r="AF338" s="185"/>
    </row>
    <row r="339" spans="1:32" s="115" customFormat="1" ht="16" customHeight="1">
      <c r="A339" s="273">
        <v>45769</v>
      </c>
      <c r="B339" s="109" t="s">
        <v>38</v>
      </c>
      <c r="C339" s="137" t="s">
        <v>54</v>
      </c>
      <c r="D339" s="137" t="s">
        <v>675</v>
      </c>
      <c r="E339" s="492"/>
      <c r="F339" s="109" t="s">
        <v>50</v>
      </c>
      <c r="G339" s="133">
        <v>3026</v>
      </c>
      <c r="H339" s="133">
        <f>639-44</f>
        <v>595</v>
      </c>
      <c r="I339" s="109"/>
      <c r="J339" s="109"/>
      <c r="K339" s="133"/>
      <c r="L339" s="109"/>
      <c r="M339" s="109"/>
      <c r="N339" s="109"/>
      <c r="O339" s="391"/>
      <c r="P339" s="138" t="s">
        <v>5</v>
      </c>
      <c r="Q339" s="139">
        <v>1963450</v>
      </c>
      <c r="R339" s="392">
        <v>0.18</v>
      </c>
      <c r="S339" s="393">
        <f t="shared" si="76"/>
        <v>353421</v>
      </c>
      <c r="T339" s="387">
        <f t="shared" si="77"/>
        <v>648.85988103106411</v>
      </c>
      <c r="U339" s="141">
        <f t="shared" si="70"/>
        <v>45829</v>
      </c>
      <c r="V339" s="142"/>
      <c r="W339" s="143"/>
      <c r="X339" s="476"/>
      <c r="Y339" s="135" t="str">
        <f t="shared" si="73"/>
        <v/>
      </c>
      <c r="Z339" s="426" t="str">
        <f t="shared" si="74"/>
        <v/>
      </c>
      <c r="AA339" s="136" t="str">
        <f t="shared" si="75"/>
        <v/>
      </c>
      <c r="AB339" s="185"/>
      <c r="AC339" s="185"/>
      <c r="AD339" s="185"/>
      <c r="AE339" s="185"/>
      <c r="AF339" s="185"/>
    </row>
    <row r="340" spans="1:32" s="115" customFormat="1" ht="16" customHeight="1">
      <c r="A340" s="273">
        <v>45770</v>
      </c>
      <c r="B340" s="109" t="s">
        <v>38</v>
      </c>
      <c r="C340" s="137" t="s">
        <v>54</v>
      </c>
      <c r="D340" s="137" t="s">
        <v>676</v>
      </c>
      <c r="E340" s="492"/>
      <c r="F340" s="109" t="s">
        <v>408</v>
      </c>
      <c r="G340" s="133">
        <v>2943</v>
      </c>
      <c r="H340" s="133">
        <f>698-66</f>
        <v>632</v>
      </c>
      <c r="I340" s="109"/>
      <c r="J340" s="109"/>
      <c r="K340" s="133"/>
      <c r="L340" s="109"/>
      <c r="M340" s="109"/>
      <c r="N340" s="109"/>
      <c r="O340" s="391"/>
      <c r="P340" s="138" t="s">
        <v>5</v>
      </c>
      <c r="Q340" s="139">
        <v>2009530</v>
      </c>
      <c r="R340" s="392">
        <v>0.18</v>
      </c>
      <c r="S340" s="393">
        <f t="shared" si="76"/>
        <v>361715.39999999997</v>
      </c>
      <c r="T340" s="387">
        <f t="shared" si="77"/>
        <v>682.81685355079856</v>
      </c>
      <c r="U340" s="141">
        <f t="shared" si="70"/>
        <v>45830</v>
      </c>
      <c r="V340" s="142"/>
      <c r="W340" s="143"/>
      <c r="X340" s="476"/>
      <c r="Y340" s="135" t="str">
        <f t="shared" si="73"/>
        <v/>
      </c>
      <c r="Z340" s="426" t="str">
        <f t="shared" si="74"/>
        <v/>
      </c>
      <c r="AA340" s="136" t="str">
        <f t="shared" si="75"/>
        <v/>
      </c>
      <c r="AB340" s="185"/>
      <c r="AC340" s="185"/>
      <c r="AD340" s="185"/>
      <c r="AE340" s="185"/>
      <c r="AF340" s="185"/>
    </row>
    <row r="341" spans="1:32" s="115" customFormat="1" ht="16" customHeight="1">
      <c r="A341" s="273">
        <v>45772</v>
      </c>
      <c r="B341" s="109" t="s">
        <v>38</v>
      </c>
      <c r="C341" s="137" t="s">
        <v>294</v>
      </c>
      <c r="D341" s="137" t="s">
        <v>677</v>
      </c>
      <c r="E341" s="492"/>
      <c r="F341" s="109" t="s">
        <v>126</v>
      </c>
      <c r="G341" s="133">
        <v>703</v>
      </c>
      <c r="H341" s="133">
        <f>290-46</f>
        <v>244</v>
      </c>
      <c r="I341" s="109"/>
      <c r="J341" s="109"/>
      <c r="K341" s="133"/>
      <c r="L341" s="109"/>
      <c r="M341" s="109"/>
      <c r="N341" s="109"/>
      <c r="O341" s="391"/>
      <c r="P341" s="138" t="s">
        <v>5</v>
      </c>
      <c r="Q341" s="139">
        <v>749280</v>
      </c>
      <c r="R341" s="392">
        <v>0.12</v>
      </c>
      <c r="S341" s="393">
        <f t="shared" si="76"/>
        <v>89913.599999999991</v>
      </c>
      <c r="T341" s="387">
        <f t="shared" si="77"/>
        <v>1065.832147937411</v>
      </c>
      <c r="U341" s="141">
        <f t="shared" si="70"/>
        <v>45832</v>
      </c>
      <c r="V341" s="142"/>
      <c r="W341" s="143"/>
      <c r="X341" s="476"/>
      <c r="Y341" s="135" t="str">
        <f t="shared" si="73"/>
        <v/>
      </c>
      <c r="Z341" s="426" t="str">
        <f t="shared" si="74"/>
        <v/>
      </c>
      <c r="AA341" s="136" t="str">
        <f t="shared" si="75"/>
        <v/>
      </c>
      <c r="AB341" s="185"/>
      <c r="AC341" s="185"/>
      <c r="AD341" s="185"/>
      <c r="AE341" s="185"/>
      <c r="AF341" s="185"/>
    </row>
    <row r="342" spans="1:32" s="115" customFormat="1" ht="16" customHeight="1">
      <c r="A342" s="273">
        <v>45789</v>
      </c>
      <c r="B342" s="109" t="s">
        <v>38</v>
      </c>
      <c r="C342" s="137" t="s">
        <v>455</v>
      </c>
      <c r="D342" s="137" t="s">
        <v>678</v>
      </c>
      <c r="E342" s="492"/>
      <c r="F342" s="109"/>
      <c r="G342" s="133">
        <v>1373</v>
      </c>
      <c r="H342" s="133">
        <f>357-33</f>
        <v>324</v>
      </c>
      <c r="I342" s="109"/>
      <c r="J342" s="109"/>
      <c r="K342" s="133"/>
      <c r="L342" s="109"/>
      <c r="M342" s="109"/>
      <c r="N342" s="109"/>
      <c r="O342" s="391"/>
      <c r="P342" s="138" t="s">
        <v>5</v>
      </c>
      <c r="Q342" s="139">
        <v>974820</v>
      </c>
      <c r="R342" s="392">
        <v>0.18</v>
      </c>
      <c r="S342" s="393">
        <f t="shared" si="76"/>
        <v>175467.6</v>
      </c>
      <c r="T342" s="387">
        <f t="shared" si="77"/>
        <v>709.99271667880555</v>
      </c>
      <c r="U342" s="141">
        <f t="shared" si="70"/>
        <v>45849</v>
      </c>
      <c r="V342" s="142"/>
      <c r="W342" s="143" t="s">
        <v>679</v>
      </c>
      <c r="X342" s="476"/>
      <c r="Y342" s="135" t="str">
        <f t="shared" si="73"/>
        <v/>
      </c>
      <c r="Z342" s="426" t="str">
        <f t="shared" si="74"/>
        <v/>
      </c>
      <c r="AA342" s="136" t="str">
        <f t="shared" si="75"/>
        <v/>
      </c>
      <c r="AB342" s="185"/>
      <c r="AC342" s="185"/>
      <c r="AD342" s="185"/>
      <c r="AE342" s="185"/>
      <c r="AF342" s="185"/>
    </row>
    <row r="343" spans="1:32" s="115" customFormat="1" ht="16" customHeight="1">
      <c r="A343" s="273">
        <v>45775</v>
      </c>
      <c r="B343" s="109" t="s">
        <v>38</v>
      </c>
      <c r="C343" s="137" t="s">
        <v>680</v>
      </c>
      <c r="D343" s="137" t="s">
        <v>681</v>
      </c>
      <c r="E343" s="492"/>
      <c r="F343" s="109" t="s">
        <v>301</v>
      </c>
      <c r="G343" s="133">
        <v>1061</v>
      </c>
      <c r="H343" s="133">
        <f>266-27</f>
        <v>239</v>
      </c>
      <c r="I343" s="109"/>
      <c r="J343" s="109"/>
      <c r="K343" s="133"/>
      <c r="L343" s="109"/>
      <c r="M343" s="109"/>
      <c r="N343" s="109"/>
      <c r="O343" s="391"/>
      <c r="P343" s="138" t="s">
        <v>3</v>
      </c>
      <c r="Q343" s="139">
        <v>772310</v>
      </c>
      <c r="R343" s="392">
        <v>0.16</v>
      </c>
      <c r="S343" s="393">
        <f t="shared" si="76"/>
        <v>123569.60000000001</v>
      </c>
      <c r="T343" s="387">
        <f t="shared" si="77"/>
        <v>727.90763430725735</v>
      </c>
      <c r="U343" s="141">
        <f t="shared" si="70"/>
        <v>45835</v>
      </c>
      <c r="V343" s="142"/>
      <c r="W343" s="143"/>
      <c r="X343" s="476"/>
      <c r="Y343" s="135" t="str">
        <f t="shared" si="73"/>
        <v>x</v>
      </c>
      <c r="Z343" s="426" t="str">
        <f t="shared" si="74"/>
        <v/>
      </c>
      <c r="AA343" s="136" t="str">
        <f t="shared" si="75"/>
        <v/>
      </c>
      <c r="AB343" s="185"/>
      <c r="AC343" s="185"/>
      <c r="AD343" s="185"/>
      <c r="AE343" s="185"/>
      <c r="AF343" s="185"/>
    </row>
    <row r="344" spans="1:32" s="115" customFormat="1" ht="16" customHeight="1">
      <c r="A344" s="273">
        <v>45776</v>
      </c>
      <c r="B344" s="109" t="s">
        <v>38</v>
      </c>
      <c r="C344" s="137" t="s">
        <v>54</v>
      </c>
      <c r="D344" s="137" t="s">
        <v>682</v>
      </c>
      <c r="E344" s="492"/>
      <c r="F344" s="109" t="s">
        <v>683</v>
      </c>
      <c r="G344" s="133">
        <v>10961</v>
      </c>
      <c r="H344" s="133">
        <f>2023-40</f>
        <v>1983</v>
      </c>
      <c r="I344" s="109"/>
      <c r="J344" s="109"/>
      <c r="K344" s="133"/>
      <c r="L344" s="109"/>
      <c r="M344" s="109"/>
      <c r="N344" s="109"/>
      <c r="O344" s="391"/>
      <c r="P344" s="138" t="s">
        <v>5</v>
      </c>
      <c r="Q344" s="139">
        <v>6671780</v>
      </c>
      <c r="R344" s="392">
        <v>0.15</v>
      </c>
      <c r="S344" s="393">
        <f t="shared" si="76"/>
        <v>1000767</v>
      </c>
      <c r="T344" s="387">
        <f t="shared" si="77"/>
        <v>608.68351427789435</v>
      </c>
      <c r="U344" s="141">
        <f t="shared" si="70"/>
        <v>45836</v>
      </c>
      <c r="V344" s="142"/>
      <c r="W344" s="143"/>
      <c r="X344" s="476"/>
      <c r="Y344" s="135" t="str">
        <f t="shared" si="73"/>
        <v/>
      </c>
      <c r="Z344" s="426" t="str">
        <f t="shared" si="74"/>
        <v/>
      </c>
      <c r="AA344" s="136" t="str">
        <f t="shared" si="75"/>
        <v/>
      </c>
      <c r="AB344" s="185"/>
      <c r="AC344" s="185"/>
      <c r="AD344" s="185"/>
      <c r="AE344" s="185"/>
      <c r="AF344" s="185"/>
    </row>
    <row r="345" spans="1:32" s="115" customFormat="1" ht="16" customHeight="1">
      <c r="A345" s="273"/>
      <c r="B345" s="109" t="s">
        <v>38</v>
      </c>
      <c r="C345" s="137" t="s">
        <v>54</v>
      </c>
      <c r="D345" s="137" t="s">
        <v>684</v>
      </c>
      <c r="E345" s="492" t="s">
        <v>422</v>
      </c>
      <c r="F345" s="109"/>
      <c r="G345" s="133"/>
      <c r="H345" s="133"/>
      <c r="I345" s="109"/>
      <c r="J345" s="109"/>
      <c r="K345" s="133"/>
      <c r="L345" s="109"/>
      <c r="M345" s="109"/>
      <c r="N345" s="109"/>
      <c r="O345" s="391"/>
      <c r="P345" s="138" t="s">
        <v>5</v>
      </c>
      <c r="Q345" s="139"/>
      <c r="R345" s="392"/>
      <c r="S345" s="393"/>
      <c r="T345" s="387"/>
      <c r="U345" s="141" t="str">
        <f t="shared" si="70"/>
        <v/>
      </c>
      <c r="V345" s="142"/>
      <c r="W345" s="143"/>
      <c r="X345" s="476"/>
      <c r="Y345" s="135" t="str">
        <f t="shared" si="73"/>
        <v/>
      </c>
      <c r="Z345" s="426" t="str">
        <f t="shared" si="74"/>
        <v/>
      </c>
      <c r="AA345" s="136" t="str">
        <f t="shared" si="75"/>
        <v/>
      </c>
      <c r="AB345" s="185"/>
      <c r="AC345" s="185"/>
      <c r="AD345" s="185"/>
      <c r="AE345" s="185"/>
      <c r="AF345" s="185"/>
    </row>
    <row r="346" spans="1:32" s="115" customFormat="1" ht="16" customHeight="1">
      <c r="A346" s="273">
        <v>45799</v>
      </c>
      <c r="B346" s="109" t="s">
        <v>38</v>
      </c>
      <c r="C346" s="137" t="s">
        <v>54</v>
      </c>
      <c r="D346" s="137" t="s">
        <v>685</v>
      </c>
      <c r="E346" s="492"/>
      <c r="F346" s="109" t="s">
        <v>50</v>
      </c>
      <c r="G346" s="133">
        <v>8143</v>
      </c>
      <c r="H346" s="133">
        <f>1743-95</f>
        <v>1648</v>
      </c>
      <c r="I346" s="109"/>
      <c r="J346" s="109"/>
      <c r="K346" s="133"/>
      <c r="L346" s="109"/>
      <c r="M346" s="109"/>
      <c r="N346" s="109"/>
      <c r="O346" s="391"/>
      <c r="P346" s="138" t="s">
        <v>5</v>
      </c>
      <c r="Q346" s="139">
        <v>4708040</v>
      </c>
      <c r="R346" s="392">
        <v>0.08</v>
      </c>
      <c r="S346" s="393">
        <f>Q346*R346</f>
        <v>376643.2</v>
      </c>
      <c r="T346" s="387">
        <f>Q346/G346</f>
        <v>578.1702075402186</v>
      </c>
      <c r="U346" s="141">
        <f t="shared" si="70"/>
        <v>45859</v>
      </c>
      <c r="V346" s="142"/>
      <c r="W346" s="143"/>
      <c r="X346" s="476"/>
      <c r="Y346" s="135" t="str">
        <f t="shared" si="73"/>
        <v/>
      </c>
      <c r="Z346" s="426" t="str">
        <f t="shared" si="74"/>
        <v/>
      </c>
      <c r="AA346" s="136" t="str">
        <f t="shared" si="75"/>
        <v/>
      </c>
      <c r="AB346" s="185"/>
      <c r="AC346" s="185"/>
      <c r="AD346" s="185"/>
      <c r="AE346" s="185"/>
      <c r="AF346" s="185"/>
    </row>
    <row r="347" spans="1:32" s="115" customFormat="1" ht="16" customHeight="1">
      <c r="A347" s="273">
        <v>45793</v>
      </c>
      <c r="B347" s="109" t="s">
        <v>38</v>
      </c>
      <c r="C347" s="137" t="s">
        <v>54</v>
      </c>
      <c r="D347" s="137" t="s">
        <v>686</v>
      </c>
      <c r="E347" s="492"/>
      <c r="F347" s="109"/>
      <c r="G347" s="133">
        <v>2584</v>
      </c>
      <c r="H347" s="133">
        <f>476+260</f>
        <v>736</v>
      </c>
      <c r="I347" s="109"/>
      <c r="J347" s="109"/>
      <c r="K347" s="133"/>
      <c r="L347" s="109"/>
      <c r="M347" s="109"/>
      <c r="N347" s="109"/>
      <c r="O347" s="391"/>
      <c r="P347" s="138" t="s">
        <v>5</v>
      </c>
      <c r="Q347" s="139">
        <v>2052640</v>
      </c>
      <c r="R347" s="392">
        <v>0.16</v>
      </c>
      <c r="S347" s="393">
        <f>Q347*R347</f>
        <v>328422.40000000002</v>
      </c>
      <c r="T347" s="387">
        <f>Q347/G347</f>
        <v>794.36532507739935</v>
      </c>
      <c r="U347" s="141">
        <f t="shared" si="70"/>
        <v>45853</v>
      </c>
      <c r="V347" s="142"/>
      <c r="W347" s="143"/>
      <c r="X347" s="476"/>
      <c r="Y347" s="135" t="str">
        <f t="shared" si="73"/>
        <v/>
      </c>
      <c r="Z347" s="426" t="str">
        <f t="shared" si="74"/>
        <v/>
      </c>
      <c r="AA347" s="136" t="str">
        <f t="shared" si="75"/>
        <v/>
      </c>
      <c r="AB347" s="185"/>
      <c r="AC347" s="185"/>
      <c r="AD347" s="185"/>
      <c r="AE347" s="185"/>
      <c r="AF347" s="185"/>
    </row>
    <row r="348" spans="1:32" s="115" customFormat="1" ht="16" customHeight="1">
      <c r="A348" s="273">
        <v>45796</v>
      </c>
      <c r="B348" s="109" t="s">
        <v>38</v>
      </c>
      <c r="C348" s="137" t="s">
        <v>687</v>
      </c>
      <c r="D348" s="137" t="s">
        <v>688</v>
      </c>
      <c r="E348" s="492"/>
      <c r="F348" s="109" t="s">
        <v>291</v>
      </c>
      <c r="G348" s="133">
        <v>1778</v>
      </c>
      <c r="H348" s="133">
        <f>461-47</f>
        <v>414</v>
      </c>
      <c r="I348" s="109"/>
      <c r="J348" s="109"/>
      <c r="K348" s="133"/>
      <c r="L348" s="109"/>
      <c r="M348" s="109"/>
      <c r="N348" s="109"/>
      <c r="O348" s="391"/>
      <c r="P348" s="138" t="s">
        <v>5</v>
      </c>
      <c r="Q348" s="139">
        <v>1229910</v>
      </c>
      <c r="R348" s="392">
        <v>0.15260000000000001</v>
      </c>
      <c r="S348" s="393">
        <f>Q348*R348</f>
        <v>187684.266</v>
      </c>
      <c r="T348" s="387">
        <f>Q348/G348</f>
        <v>691.73790776152975</v>
      </c>
      <c r="U348" s="141">
        <f t="shared" si="70"/>
        <v>45856</v>
      </c>
      <c r="V348" s="142"/>
      <c r="W348" s="143"/>
      <c r="X348" s="476"/>
      <c r="Y348" s="135" t="str">
        <f t="shared" si="73"/>
        <v/>
      </c>
      <c r="Z348" s="426" t="str">
        <f t="shared" si="74"/>
        <v/>
      </c>
      <c r="AA348" s="136" t="str">
        <f t="shared" si="75"/>
        <v/>
      </c>
      <c r="AB348" s="185"/>
      <c r="AC348" s="185"/>
      <c r="AD348" s="185"/>
      <c r="AE348" s="185"/>
      <c r="AF348" s="185"/>
    </row>
    <row r="349" spans="1:32" s="115" customFormat="1" ht="16" customHeight="1">
      <c r="A349" s="273">
        <v>45793</v>
      </c>
      <c r="B349" s="109" t="s">
        <v>38</v>
      </c>
      <c r="C349" s="137" t="s">
        <v>54</v>
      </c>
      <c r="D349" s="137" t="s">
        <v>689</v>
      </c>
      <c r="E349" s="492"/>
      <c r="F349" s="109"/>
      <c r="G349" s="133">
        <v>8087</v>
      </c>
      <c r="H349" s="133">
        <f>1658-87</f>
        <v>1571</v>
      </c>
      <c r="I349" s="109"/>
      <c r="J349" s="109"/>
      <c r="K349" s="133"/>
      <c r="L349" s="109"/>
      <c r="M349" s="109"/>
      <c r="N349" s="109"/>
      <c r="O349" s="391"/>
      <c r="P349" s="138" t="s">
        <v>5</v>
      </c>
      <c r="Q349" s="139">
        <f>4940320-72130</f>
        <v>4868190</v>
      </c>
      <c r="R349" s="392">
        <v>0.12</v>
      </c>
      <c r="S349" s="393">
        <f>Q349*R349</f>
        <v>584182.79999999993</v>
      </c>
      <c r="T349" s="387">
        <f>Q349/G349</f>
        <v>601.97724743415358</v>
      </c>
      <c r="U349" s="141">
        <f t="shared" si="70"/>
        <v>45853</v>
      </c>
      <c r="V349" s="142"/>
      <c r="W349" s="143"/>
      <c r="X349" s="476"/>
      <c r="Y349" s="135" t="str">
        <f t="shared" si="73"/>
        <v/>
      </c>
      <c r="Z349" s="426" t="str">
        <f t="shared" si="74"/>
        <v/>
      </c>
      <c r="AA349" s="136" t="str">
        <f t="shared" si="75"/>
        <v/>
      </c>
      <c r="AB349" s="185"/>
      <c r="AC349" s="185"/>
      <c r="AD349" s="185"/>
      <c r="AE349" s="185"/>
      <c r="AF349" s="185"/>
    </row>
    <row r="350" spans="1:32" s="115" customFormat="1" ht="16" customHeight="1">
      <c r="A350" s="273">
        <v>45796</v>
      </c>
      <c r="B350" s="109" t="s">
        <v>38</v>
      </c>
      <c r="C350" s="137" t="s">
        <v>455</v>
      </c>
      <c r="D350" s="137" t="s">
        <v>690</v>
      </c>
      <c r="E350" s="492"/>
      <c r="F350" s="109" t="s">
        <v>208</v>
      </c>
      <c r="G350" s="133">
        <v>1736</v>
      </c>
      <c r="H350" s="133">
        <f>511-67</f>
        <v>444</v>
      </c>
      <c r="I350" s="109"/>
      <c r="J350" s="109"/>
      <c r="K350" s="133"/>
      <c r="L350" s="109"/>
      <c r="M350" s="109"/>
      <c r="N350" s="109"/>
      <c r="O350" s="391"/>
      <c r="P350" s="138" t="s">
        <v>5</v>
      </c>
      <c r="Q350" s="139">
        <v>1393480</v>
      </c>
      <c r="R350" s="392">
        <v>0.16</v>
      </c>
      <c r="S350" s="393">
        <f>Q350*R350</f>
        <v>222956.80000000002</v>
      </c>
      <c r="T350" s="387">
        <f>Q350/G350</f>
        <v>802.69585253456216</v>
      </c>
      <c r="U350" s="141">
        <f t="shared" si="70"/>
        <v>45856</v>
      </c>
      <c r="V350" s="142"/>
      <c r="W350" s="143"/>
      <c r="X350" s="476"/>
      <c r="Y350" s="135" t="str">
        <f t="shared" si="73"/>
        <v/>
      </c>
      <c r="Z350" s="426" t="str">
        <f t="shared" si="74"/>
        <v/>
      </c>
      <c r="AA350" s="136" t="str">
        <f t="shared" si="75"/>
        <v/>
      </c>
      <c r="AB350" s="185"/>
      <c r="AC350" s="185"/>
      <c r="AD350" s="185"/>
      <c r="AE350" s="185"/>
      <c r="AF350" s="185"/>
    </row>
    <row r="351" spans="1:32" s="115" customFormat="1" ht="16" customHeight="1">
      <c r="A351" s="273"/>
      <c r="B351" s="109" t="s">
        <v>38</v>
      </c>
      <c r="C351" s="137" t="s">
        <v>455</v>
      </c>
      <c r="D351" s="137" t="s">
        <v>691</v>
      </c>
      <c r="E351" s="492">
        <v>45800</v>
      </c>
      <c r="F351" s="109" t="s">
        <v>692</v>
      </c>
      <c r="G351" s="133"/>
      <c r="H351" s="133"/>
      <c r="I351" s="109"/>
      <c r="J351" s="109"/>
      <c r="K351" s="133"/>
      <c r="L351" s="109"/>
      <c r="M351" s="109"/>
      <c r="N351" s="109"/>
      <c r="O351" s="391"/>
      <c r="P351" s="138" t="s">
        <v>5</v>
      </c>
      <c r="Q351" s="139"/>
      <c r="R351" s="392"/>
      <c r="S351" s="393"/>
      <c r="T351" s="387"/>
      <c r="U351" s="141" t="str">
        <f t="shared" si="70"/>
        <v/>
      </c>
      <c r="V351" s="142"/>
      <c r="W351" s="143"/>
      <c r="X351" s="476"/>
      <c r="Y351" s="135" t="str">
        <f t="shared" si="73"/>
        <v/>
      </c>
      <c r="Z351" s="426" t="str">
        <f t="shared" si="74"/>
        <v/>
      </c>
      <c r="AA351" s="136" t="str">
        <f t="shared" si="75"/>
        <v/>
      </c>
      <c r="AB351" s="185"/>
      <c r="AC351" s="185"/>
      <c r="AD351" s="185"/>
      <c r="AE351" s="185"/>
      <c r="AF351" s="185"/>
    </row>
    <row r="352" spans="1:32" s="115" customFormat="1" ht="16" customHeight="1">
      <c r="A352" s="273">
        <v>45799</v>
      </c>
      <c r="B352" s="109" t="s">
        <v>38</v>
      </c>
      <c r="C352" s="137" t="s">
        <v>693</v>
      </c>
      <c r="D352" s="137" t="s">
        <v>694</v>
      </c>
      <c r="E352" s="492"/>
      <c r="F352" s="109" t="s">
        <v>199</v>
      </c>
      <c r="G352" s="133">
        <v>1851</v>
      </c>
      <c r="H352" s="133"/>
      <c r="I352" s="109"/>
      <c r="J352" s="109"/>
      <c r="K352" s="133"/>
      <c r="L352" s="109"/>
      <c r="M352" s="109"/>
      <c r="N352" s="109"/>
      <c r="O352" s="391"/>
      <c r="P352" s="138" t="s">
        <v>5</v>
      </c>
      <c r="Q352" s="139">
        <v>2085300</v>
      </c>
      <c r="R352" s="392">
        <v>0.18</v>
      </c>
      <c r="S352" s="393">
        <f t="shared" ref="S352:S362" si="78">Q352*R352</f>
        <v>375354</v>
      </c>
      <c r="T352" s="387">
        <f t="shared" ref="T352:T362" si="79">Q352/G352</f>
        <v>1126.5802269043761</v>
      </c>
      <c r="U352" s="141">
        <f t="shared" si="70"/>
        <v>45859</v>
      </c>
      <c r="V352" s="142"/>
      <c r="W352" s="143"/>
      <c r="X352" s="476"/>
      <c r="Y352" s="135" t="str">
        <f t="shared" si="73"/>
        <v/>
      </c>
      <c r="Z352" s="426" t="str">
        <f t="shared" si="74"/>
        <v/>
      </c>
      <c r="AA352" s="136" t="str">
        <f t="shared" si="75"/>
        <v/>
      </c>
      <c r="AB352" s="185"/>
      <c r="AC352" s="185"/>
      <c r="AD352" s="185"/>
      <c r="AE352" s="185"/>
      <c r="AF352" s="185"/>
    </row>
    <row r="353" spans="1:32" s="115" customFormat="1" ht="16" customHeight="1">
      <c r="A353" s="273">
        <v>45800</v>
      </c>
      <c r="B353" s="109" t="s">
        <v>38</v>
      </c>
      <c r="C353" s="137" t="s">
        <v>54</v>
      </c>
      <c r="D353" s="137" t="s">
        <v>695</v>
      </c>
      <c r="E353" s="492"/>
      <c r="F353" s="109" t="s">
        <v>696</v>
      </c>
      <c r="G353" s="133">
        <v>2965</v>
      </c>
      <c r="H353" s="133">
        <f>708-84</f>
        <v>624</v>
      </c>
      <c r="I353" s="109"/>
      <c r="J353" s="109"/>
      <c r="K353" s="133"/>
      <c r="L353" s="109"/>
      <c r="M353" s="109"/>
      <c r="N353" s="109"/>
      <c r="O353" s="391"/>
      <c r="P353" s="138" t="s">
        <v>5</v>
      </c>
      <c r="Q353" s="139">
        <v>2313130</v>
      </c>
      <c r="R353" s="392">
        <v>0.1</v>
      </c>
      <c r="S353" s="393">
        <f t="shared" si="78"/>
        <v>231313</v>
      </c>
      <c r="T353" s="387">
        <f t="shared" si="79"/>
        <v>780.14502529510958</v>
      </c>
      <c r="U353" s="141">
        <f t="shared" si="70"/>
        <v>45860</v>
      </c>
      <c r="V353" s="142"/>
      <c r="W353" s="143"/>
      <c r="X353" s="476"/>
      <c r="Y353" s="135" t="str">
        <f t="shared" si="73"/>
        <v/>
      </c>
      <c r="Z353" s="426" t="str">
        <f t="shared" si="74"/>
        <v/>
      </c>
      <c r="AA353" s="136" t="str">
        <f t="shared" si="75"/>
        <v/>
      </c>
      <c r="AB353" s="185"/>
      <c r="AC353" s="185"/>
      <c r="AD353" s="185"/>
      <c r="AE353" s="185"/>
      <c r="AF353" s="185"/>
    </row>
    <row r="354" spans="1:32" s="115" customFormat="1" ht="16" customHeight="1">
      <c r="A354" s="273">
        <v>45800</v>
      </c>
      <c r="B354" s="109" t="s">
        <v>38</v>
      </c>
      <c r="C354" s="137" t="s">
        <v>54</v>
      </c>
      <c r="D354" s="137" t="s">
        <v>697</v>
      </c>
      <c r="E354" s="492"/>
      <c r="F354" s="109" t="s">
        <v>77</v>
      </c>
      <c r="G354" s="133">
        <v>746</v>
      </c>
      <c r="H354" s="133">
        <f>239-47</f>
        <v>192</v>
      </c>
      <c r="I354" s="109"/>
      <c r="J354" s="109"/>
      <c r="K354" s="133"/>
      <c r="L354" s="109"/>
      <c r="M354" s="109"/>
      <c r="N354" s="109"/>
      <c r="O354" s="391"/>
      <c r="P354" s="138" t="s">
        <v>5</v>
      </c>
      <c r="Q354" s="139">
        <v>771670</v>
      </c>
      <c r="R354" s="392">
        <v>0.18</v>
      </c>
      <c r="S354" s="393">
        <f t="shared" si="78"/>
        <v>138900.6</v>
      </c>
      <c r="T354" s="387">
        <f t="shared" si="79"/>
        <v>1034.4101876675604</v>
      </c>
      <c r="U354" s="141">
        <f t="shared" si="70"/>
        <v>45860</v>
      </c>
      <c r="V354" s="142"/>
      <c r="W354" s="143"/>
      <c r="X354" s="476"/>
      <c r="Y354" s="135" t="str">
        <f t="shared" si="73"/>
        <v/>
      </c>
      <c r="Z354" s="426" t="str">
        <f t="shared" si="74"/>
        <v/>
      </c>
      <c r="AA354" s="136" t="str">
        <f t="shared" si="75"/>
        <v/>
      </c>
      <c r="AB354" s="185"/>
      <c r="AC354" s="185"/>
      <c r="AD354" s="185"/>
      <c r="AE354" s="185"/>
      <c r="AF354" s="185"/>
    </row>
    <row r="355" spans="1:32" s="115" customFormat="1" ht="16" customHeight="1">
      <c r="A355" s="273">
        <v>45799</v>
      </c>
      <c r="B355" s="109" t="s">
        <v>38</v>
      </c>
      <c r="C355" s="137" t="s">
        <v>54</v>
      </c>
      <c r="D355" s="137" t="s">
        <v>698</v>
      </c>
      <c r="E355" s="492"/>
      <c r="F355" s="109" t="s">
        <v>284</v>
      </c>
      <c r="G355" s="133">
        <v>1323</v>
      </c>
      <c r="H355" s="133">
        <f>393-50</f>
        <v>343</v>
      </c>
      <c r="I355" s="109"/>
      <c r="J355" s="109"/>
      <c r="K355" s="133"/>
      <c r="L355" s="109"/>
      <c r="M355" s="109"/>
      <c r="N355" s="109"/>
      <c r="O355" s="391"/>
      <c r="P355" s="138" t="s">
        <v>5</v>
      </c>
      <c r="Q355" s="139">
        <v>1019850</v>
      </c>
      <c r="R355" s="392">
        <v>0.16</v>
      </c>
      <c r="S355" s="393">
        <f t="shared" si="78"/>
        <v>163176</v>
      </c>
      <c r="T355" s="387">
        <f t="shared" si="79"/>
        <v>770.86167800453518</v>
      </c>
      <c r="U355" s="141">
        <f t="shared" si="70"/>
        <v>45859</v>
      </c>
      <c r="V355" s="142"/>
      <c r="W355" s="143"/>
      <c r="X355" s="476"/>
      <c r="Y355" s="135" t="str">
        <f t="shared" si="73"/>
        <v/>
      </c>
      <c r="Z355" s="426" t="str">
        <f t="shared" si="74"/>
        <v/>
      </c>
      <c r="AA355" s="136" t="str">
        <f t="shared" si="75"/>
        <v/>
      </c>
      <c r="AB355" s="185"/>
      <c r="AC355" s="185"/>
      <c r="AD355" s="185"/>
      <c r="AE355" s="185"/>
      <c r="AF355" s="185"/>
    </row>
    <row r="356" spans="1:32" s="115" customFormat="1" ht="16" customHeight="1">
      <c r="A356" s="273">
        <v>45803</v>
      </c>
      <c r="B356" s="109" t="s">
        <v>38</v>
      </c>
      <c r="C356" s="137" t="s">
        <v>504</v>
      </c>
      <c r="D356" s="137" t="s">
        <v>699</v>
      </c>
      <c r="E356" s="492">
        <v>45803</v>
      </c>
      <c r="F356" s="109" t="s">
        <v>700</v>
      </c>
      <c r="G356" s="133">
        <v>1308</v>
      </c>
      <c r="H356" s="133">
        <f>370-40</f>
        <v>330</v>
      </c>
      <c r="I356" s="109"/>
      <c r="J356" s="109"/>
      <c r="K356" s="133"/>
      <c r="L356" s="109"/>
      <c r="M356" s="109"/>
      <c r="N356" s="109"/>
      <c r="O356" s="391"/>
      <c r="P356" s="138" t="s">
        <v>5</v>
      </c>
      <c r="Q356" s="139">
        <v>973880</v>
      </c>
      <c r="R356" s="392">
        <v>0.15260000000000001</v>
      </c>
      <c r="S356" s="393">
        <f t="shared" si="78"/>
        <v>148614.08800000002</v>
      </c>
      <c r="T356" s="387">
        <f t="shared" si="79"/>
        <v>744.55657492354737</v>
      </c>
      <c r="U356" s="141">
        <f t="shared" si="70"/>
        <v>45863</v>
      </c>
      <c r="V356" s="142"/>
      <c r="W356" s="143"/>
      <c r="X356" s="476"/>
      <c r="Y356" s="135" t="str">
        <f t="shared" si="73"/>
        <v/>
      </c>
      <c r="Z356" s="426" t="str">
        <f t="shared" si="74"/>
        <v/>
      </c>
      <c r="AA356" s="136" t="str">
        <f t="shared" si="75"/>
        <v/>
      </c>
      <c r="AB356" s="185"/>
      <c r="AC356" s="185"/>
      <c r="AD356" s="185"/>
      <c r="AE356" s="185"/>
      <c r="AF356" s="185"/>
    </row>
    <row r="357" spans="1:32" s="115" customFormat="1" ht="16" customHeight="1">
      <c r="A357" s="273"/>
      <c r="B357" s="109" t="s">
        <v>38</v>
      </c>
      <c r="C357" s="137" t="s">
        <v>54</v>
      </c>
      <c r="D357" s="137" t="s">
        <v>701</v>
      </c>
      <c r="E357" s="492"/>
      <c r="F357" s="109"/>
      <c r="G357" s="133"/>
      <c r="H357" s="133"/>
      <c r="I357" s="109"/>
      <c r="J357" s="109"/>
      <c r="K357" s="133"/>
      <c r="L357" s="109"/>
      <c r="M357" s="109"/>
      <c r="N357" s="109"/>
      <c r="O357" s="391"/>
      <c r="P357" s="138" t="s">
        <v>5</v>
      </c>
      <c r="Q357" s="139"/>
      <c r="R357" s="392"/>
      <c r="S357" s="393">
        <f t="shared" si="78"/>
        <v>0</v>
      </c>
      <c r="T357" s="387" t="e">
        <f t="shared" si="79"/>
        <v>#DIV/0!</v>
      </c>
      <c r="U357" s="141" t="str">
        <f t="shared" si="70"/>
        <v/>
      </c>
      <c r="V357" s="142"/>
      <c r="W357" s="143"/>
      <c r="X357" s="476"/>
      <c r="Y357" s="135" t="str">
        <f t="shared" si="73"/>
        <v/>
      </c>
      <c r="Z357" s="426" t="str">
        <f t="shared" si="74"/>
        <v/>
      </c>
      <c r="AA357" s="136" t="str">
        <f t="shared" si="75"/>
        <v/>
      </c>
      <c r="AB357" s="185"/>
      <c r="AC357" s="185"/>
      <c r="AD357" s="185"/>
      <c r="AE357" s="185"/>
      <c r="AF357" s="185"/>
    </row>
    <row r="358" spans="1:32" s="115" customFormat="1" ht="16" customHeight="1">
      <c r="A358" s="273">
        <v>45805</v>
      </c>
      <c r="B358" s="109" t="s">
        <v>38</v>
      </c>
      <c r="C358" s="137" t="s">
        <v>54</v>
      </c>
      <c r="D358" s="137" t="s">
        <v>702</v>
      </c>
      <c r="E358" s="492"/>
      <c r="F358" s="109" t="s">
        <v>365</v>
      </c>
      <c r="G358" s="133">
        <v>14549</v>
      </c>
      <c r="H358" s="133">
        <f>2554-100+346-100</f>
        <v>2700</v>
      </c>
      <c r="I358" s="109"/>
      <c r="J358" s="109"/>
      <c r="K358" s="133"/>
      <c r="L358" s="109"/>
      <c r="M358" s="109"/>
      <c r="N358" s="109"/>
      <c r="O358" s="391"/>
      <c r="P358" s="138" t="s">
        <v>5</v>
      </c>
      <c r="Q358" s="139">
        <v>8409620</v>
      </c>
      <c r="R358" s="392">
        <v>0.12</v>
      </c>
      <c r="S358" s="393">
        <f t="shared" si="78"/>
        <v>1009154.3999999999</v>
      </c>
      <c r="T358" s="387">
        <f t="shared" si="79"/>
        <v>578.02048250738881</v>
      </c>
      <c r="U358" s="141">
        <f t="shared" si="70"/>
        <v>45865</v>
      </c>
      <c r="V358" s="142"/>
      <c r="W358" s="143"/>
      <c r="X358" s="476"/>
      <c r="Y358" s="135" t="str">
        <f t="shared" si="73"/>
        <v/>
      </c>
      <c r="Z358" s="426" t="str">
        <f t="shared" si="74"/>
        <v/>
      </c>
      <c r="AA358" s="136" t="str">
        <f t="shared" si="75"/>
        <v/>
      </c>
      <c r="AB358" s="185"/>
      <c r="AC358" s="185"/>
      <c r="AD358" s="185"/>
      <c r="AE358" s="185"/>
      <c r="AF358" s="185"/>
    </row>
    <row r="359" spans="1:32" s="115" customFormat="1" ht="16" customHeight="1">
      <c r="A359" s="273">
        <v>45818</v>
      </c>
      <c r="B359" s="109" t="s">
        <v>38</v>
      </c>
      <c r="C359" s="137" t="s">
        <v>455</v>
      </c>
      <c r="D359" s="137" t="s">
        <v>703</v>
      </c>
      <c r="E359" s="492"/>
      <c r="F359" s="109"/>
      <c r="G359" s="133">
        <v>1352</v>
      </c>
      <c r="H359" s="133">
        <f>490-30</f>
        <v>460</v>
      </c>
      <c r="I359" s="109"/>
      <c r="J359" s="109"/>
      <c r="K359" s="133"/>
      <c r="L359" s="109"/>
      <c r="M359" s="109"/>
      <c r="N359" s="109"/>
      <c r="O359" s="391"/>
      <c r="P359" s="138" t="s">
        <v>5</v>
      </c>
      <c r="Q359" s="139">
        <v>1446480</v>
      </c>
      <c r="R359" s="392">
        <v>0.14000000000000001</v>
      </c>
      <c r="S359" s="393">
        <f t="shared" si="78"/>
        <v>202507.2</v>
      </c>
      <c r="T359" s="387">
        <f t="shared" si="79"/>
        <v>1069.8816568047337</v>
      </c>
      <c r="U359" s="141">
        <f t="shared" si="70"/>
        <v>45878</v>
      </c>
      <c r="V359" s="142"/>
      <c r="W359" s="143"/>
      <c r="X359" s="476"/>
      <c r="Y359" s="135" t="str">
        <f t="shared" si="73"/>
        <v/>
      </c>
      <c r="Z359" s="426" t="str">
        <f t="shared" si="74"/>
        <v/>
      </c>
      <c r="AA359" s="136" t="str">
        <f t="shared" si="75"/>
        <v/>
      </c>
      <c r="AB359" s="185"/>
      <c r="AC359" s="185"/>
      <c r="AD359" s="185"/>
      <c r="AE359" s="185"/>
      <c r="AF359" s="185"/>
    </row>
    <row r="360" spans="1:32" s="115" customFormat="1" ht="16" customHeight="1">
      <c r="A360" s="273">
        <v>45818</v>
      </c>
      <c r="B360" s="109" t="s">
        <v>38</v>
      </c>
      <c r="C360" s="137" t="s">
        <v>54</v>
      </c>
      <c r="D360" s="137" t="s">
        <v>704</v>
      </c>
      <c r="E360" s="492"/>
      <c r="F360" s="109" t="s">
        <v>291</v>
      </c>
      <c r="G360" s="133">
        <v>2194</v>
      </c>
      <c r="H360" s="133">
        <f>522-40</f>
        <v>482</v>
      </c>
      <c r="I360" s="109"/>
      <c r="J360" s="109"/>
      <c r="K360" s="133"/>
      <c r="L360" s="109"/>
      <c r="M360" s="109"/>
      <c r="N360" s="109"/>
      <c r="O360" s="391"/>
      <c r="P360" s="138" t="s">
        <v>3</v>
      </c>
      <c r="Q360" s="139">
        <v>1483400</v>
      </c>
      <c r="R360" s="392">
        <v>0.14000000000000001</v>
      </c>
      <c r="S360" s="393">
        <f t="shared" si="78"/>
        <v>207676.00000000003</v>
      </c>
      <c r="T360" s="387">
        <f t="shared" si="79"/>
        <v>676.11668185961719</v>
      </c>
      <c r="U360" s="141">
        <f t="shared" si="70"/>
        <v>45878</v>
      </c>
      <c r="V360" s="142"/>
      <c r="W360" s="143"/>
      <c r="X360" s="476"/>
      <c r="Y360" s="135" t="str">
        <f t="shared" si="73"/>
        <v>x</v>
      </c>
      <c r="Z360" s="426" t="str">
        <f t="shared" si="74"/>
        <v/>
      </c>
      <c r="AA360" s="136" t="str">
        <f t="shared" si="75"/>
        <v/>
      </c>
      <c r="AB360" s="185"/>
      <c r="AC360" s="185"/>
      <c r="AD360" s="185"/>
      <c r="AE360" s="185"/>
      <c r="AF360" s="185"/>
    </row>
    <row r="361" spans="1:32" s="115" customFormat="1" ht="16" customHeight="1">
      <c r="A361" s="273">
        <v>45819</v>
      </c>
      <c r="B361" s="109" t="s">
        <v>38</v>
      </c>
      <c r="C361" s="137" t="s">
        <v>455</v>
      </c>
      <c r="D361" s="137" t="s">
        <v>705</v>
      </c>
      <c r="E361" s="492"/>
      <c r="F361" s="109"/>
      <c r="G361" s="133">
        <v>1157</v>
      </c>
      <c r="H361" s="133">
        <f>295-37</f>
        <v>258</v>
      </c>
      <c r="I361" s="109"/>
      <c r="J361" s="109"/>
      <c r="K361" s="133"/>
      <c r="L361" s="109"/>
      <c r="M361" s="109"/>
      <c r="N361" s="109"/>
      <c r="O361" s="391"/>
      <c r="P361" s="138" t="s">
        <v>5</v>
      </c>
      <c r="Q361" s="139">
        <v>861110</v>
      </c>
      <c r="R361" s="392">
        <v>0.18</v>
      </c>
      <c r="S361" s="393">
        <f t="shared" si="78"/>
        <v>154999.79999999999</v>
      </c>
      <c r="T361" s="387">
        <f t="shared" si="79"/>
        <v>744.26101987899744</v>
      </c>
      <c r="U361" s="141">
        <f t="shared" si="70"/>
        <v>45879</v>
      </c>
      <c r="V361" s="142"/>
      <c r="W361" s="143"/>
      <c r="X361" s="476"/>
      <c r="Y361" s="135" t="str">
        <f t="shared" si="73"/>
        <v/>
      </c>
      <c r="Z361" s="426" t="str">
        <f t="shared" si="74"/>
        <v/>
      </c>
      <c r="AA361" s="136" t="str">
        <f t="shared" si="75"/>
        <v/>
      </c>
      <c r="AB361" s="185"/>
      <c r="AC361" s="185"/>
      <c r="AD361" s="185"/>
      <c r="AE361" s="185"/>
      <c r="AF361" s="185"/>
    </row>
    <row r="362" spans="1:32" s="115" customFormat="1" ht="16" customHeight="1">
      <c r="A362" s="273">
        <v>45825</v>
      </c>
      <c r="B362" s="109" t="s">
        <v>38</v>
      </c>
      <c r="C362" s="137" t="s">
        <v>455</v>
      </c>
      <c r="D362" s="137" t="s">
        <v>706</v>
      </c>
      <c r="E362" s="492"/>
      <c r="F362" s="109" t="s">
        <v>490</v>
      </c>
      <c r="G362" s="133">
        <v>3940</v>
      </c>
      <c r="H362" s="133">
        <f>802-119</f>
        <v>683</v>
      </c>
      <c r="I362" s="109"/>
      <c r="J362" s="109"/>
      <c r="K362" s="133"/>
      <c r="L362" s="109"/>
      <c r="M362" s="109"/>
      <c r="N362" s="109"/>
      <c r="O362" s="391"/>
      <c r="P362" s="138" t="s">
        <v>5</v>
      </c>
      <c r="Q362" s="139">
        <v>2074960</v>
      </c>
      <c r="R362" s="392">
        <v>0.16</v>
      </c>
      <c r="S362" s="393">
        <f t="shared" si="78"/>
        <v>331993.60000000003</v>
      </c>
      <c r="T362" s="387">
        <f t="shared" si="79"/>
        <v>526.63959390862942</v>
      </c>
      <c r="U362" s="141">
        <f t="shared" si="70"/>
        <v>45885</v>
      </c>
      <c r="V362" s="142"/>
      <c r="W362" s="143"/>
      <c r="X362" s="476"/>
      <c r="Y362" s="135" t="str">
        <f t="shared" si="73"/>
        <v/>
      </c>
      <c r="Z362" s="426" t="str">
        <f t="shared" si="74"/>
        <v/>
      </c>
      <c r="AA362" s="136" t="str">
        <f t="shared" si="75"/>
        <v/>
      </c>
      <c r="AB362" s="185"/>
      <c r="AC362" s="185"/>
      <c r="AD362" s="185"/>
      <c r="AE362" s="185"/>
      <c r="AF362" s="185"/>
    </row>
    <row r="363" spans="1:32" s="115" customFormat="1" ht="16" customHeight="1">
      <c r="A363" s="273"/>
      <c r="B363" s="109" t="s">
        <v>38</v>
      </c>
      <c r="C363" s="137" t="s">
        <v>54</v>
      </c>
      <c r="D363" s="137" t="s">
        <v>707</v>
      </c>
      <c r="E363" s="492"/>
      <c r="F363" s="109"/>
      <c r="G363" s="133"/>
      <c r="H363" s="133"/>
      <c r="I363" s="109"/>
      <c r="J363" s="109"/>
      <c r="K363" s="133"/>
      <c r="L363" s="109"/>
      <c r="M363" s="109"/>
      <c r="N363" s="109"/>
      <c r="O363" s="391"/>
      <c r="P363" s="138" t="s">
        <v>80</v>
      </c>
      <c r="Q363" s="139"/>
      <c r="R363" s="392"/>
      <c r="S363" s="393"/>
      <c r="T363" s="387"/>
      <c r="U363" s="141" t="str">
        <f t="shared" si="70"/>
        <v/>
      </c>
      <c r="V363" s="142"/>
      <c r="W363" s="143"/>
      <c r="X363" s="476"/>
      <c r="Y363" s="135"/>
      <c r="Z363" s="426"/>
      <c r="AA363" s="136"/>
      <c r="AB363" s="185"/>
      <c r="AC363" s="185"/>
      <c r="AD363" s="185"/>
      <c r="AE363" s="185"/>
      <c r="AF363" s="185"/>
    </row>
    <row r="364" spans="1:32" s="115" customFormat="1" ht="16" customHeight="1">
      <c r="A364" s="273">
        <v>45825</v>
      </c>
      <c r="B364" s="109" t="s">
        <v>38</v>
      </c>
      <c r="C364" s="137" t="s">
        <v>54</v>
      </c>
      <c r="D364" s="137" t="s">
        <v>708</v>
      </c>
      <c r="E364" s="492"/>
      <c r="F364" s="109" t="s">
        <v>50</v>
      </c>
      <c r="G364" s="133">
        <v>3834</v>
      </c>
      <c r="H364" s="133">
        <f>652-30</f>
        <v>622</v>
      </c>
      <c r="I364" s="109"/>
      <c r="J364" s="109"/>
      <c r="K364" s="133"/>
      <c r="L364" s="109"/>
      <c r="M364" s="109"/>
      <c r="N364" s="109"/>
      <c r="O364" s="391"/>
      <c r="P364" s="138" t="s">
        <v>5</v>
      </c>
      <c r="Q364" s="572">
        <v>2057060</v>
      </c>
      <c r="R364" s="392">
        <v>0.09</v>
      </c>
      <c r="S364" s="393">
        <f t="shared" ref="S364:S405" si="80">Q364*R364</f>
        <v>185135.4</v>
      </c>
      <c r="T364" s="387">
        <f t="shared" ref="T364:T406" si="81">Q364/G364</f>
        <v>536.53103808033381</v>
      </c>
      <c r="U364" s="141">
        <f t="shared" ref="U364:U425" si="82">IF(A364="","",(A364+60))</f>
        <v>45885</v>
      </c>
      <c r="V364" s="142"/>
      <c r="W364" s="143"/>
      <c r="X364" s="476">
        <v>1</v>
      </c>
      <c r="Y364" s="135" t="str">
        <f t="shared" ref="Y364:Y370" si="83">IF(OR(P364="Ordre",P364="Ferdig"),"x","")</f>
        <v/>
      </c>
      <c r="Z364" s="426" t="str">
        <f t="shared" ref="Z364:Z370" si="84">IF(P364="Ferdig","x","")</f>
        <v/>
      </c>
      <c r="AA364" s="136" t="str">
        <f t="shared" ref="AA364:AA370" si="85">IF(P364="Tapt","x","")</f>
        <v/>
      </c>
      <c r="AB364" s="185"/>
      <c r="AC364" s="185"/>
      <c r="AD364" s="185"/>
      <c r="AE364" s="185"/>
      <c r="AF364" s="185"/>
    </row>
    <row r="365" spans="1:32" s="115" customFormat="1" ht="16" customHeight="1">
      <c r="A365" s="273">
        <v>45833</v>
      </c>
      <c r="B365" s="109" t="s">
        <v>38</v>
      </c>
      <c r="C365" s="137" t="s">
        <v>54</v>
      </c>
      <c r="D365" s="137" t="s">
        <v>709</v>
      </c>
      <c r="E365" s="492"/>
      <c r="F365" s="109" t="s">
        <v>710</v>
      </c>
      <c r="G365" s="133">
        <v>1661</v>
      </c>
      <c r="H365" s="133">
        <f>400</f>
        <v>400</v>
      </c>
      <c r="I365" s="109"/>
      <c r="J365" s="109"/>
      <c r="K365" s="133"/>
      <c r="L365" s="109"/>
      <c r="M365" s="109"/>
      <c r="N365" s="109"/>
      <c r="O365" s="391"/>
      <c r="P365" s="138" t="s">
        <v>5</v>
      </c>
      <c r="Q365" s="139">
        <v>1182690</v>
      </c>
      <c r="R365" s="392">
        <v>0.161</v>
      </c>
      <c r="S365" s="393">
        <f t="shared" si="80"/>
        <v>190413.09</v>
      </c>
      <c r="T365" s="387">
        <f t="shared" si="81"/>
        <v>712.03491872366044</v>
      </c>
      <c r="U365" s="141">
        <f t="shared" si="82"/>
        <v>45893</v>
      </c>
      <c r="V365" s="142"/>
      <c r="W365" s="143"/>
      <c r="X365" s="476"/>
      <c r="Y365" s="135" t="str">
        <f t="shared" si="83"/>
        <v/>
      </c>
      <c r="Z365" s="426" t="str">
        <f t="shared" si="84"/>
        <v/>
      </c>
      <c r="AA365" s="136" t="str">
        <f t="shared" si="85"/>
        <v/>
      </c>
      <c r="AB365" s="185"/>
      <c r="AC365" s="185"/>
      <c r="AD365" s="185"/>
      <c r="AE365" s="185"/>
      <c r="AF365" s="185"/>
    </row>
    <row r="366" spans="1:32" s="115" customFormat="1" ht="16" customHeight="1">
      <c r="A366" s="273">
        <v>45833</v>
      </c>
      <c r="B366" s="109" t="s">
        <v>38</v>
      </c>
      <c r="C366" s="137" t="s">
        <v>54</v>
      </c>
      <c r="D366" s="137" t="s">
        <v>711</v>
      </c>
      <c r="E366" s="492"/>
      <c r="F366" s="109"/>
      <c r="G366" s="133">
        <v>8948</v>
      </c>
      <c r="H366" s="133">
        <f>1528-40</f>
        <v>1488</v>
      </c>
      <c r="I366" s="109"/>
      <c r="J366" s="109"/>
      <c r="K366" s="133"/>
      <c r="L366" s="109"/>
      <c r="M366" s="109"/>
      <c r="N366" s="109"/>
      <c r="O366" s="391"/>
      <c r="P366" s="138" t="s">
        <v>5</v>
      </c>
      <c r="Q366" s="139">
        <v>4978440</v>
      </c>
      <c r="R366" s="392">
        <v>0.12</v>
      </c>
      <c r="S366" s="393">
        <f t="shared" si="80"/>
        <v>597412.79999999993</v>
      </c>
      <c r="T366" s="387">
        <f t="shared" si="81"/>
        <v>556.3746088511399</v>
      </c>
      <c r="U366" s="141">
        <f t="shared" si="82"/>
        <v>45893</v>
      </c>
      <c r="V366" s="142"/>
      <c r="W366" s="143"/>
      <c r="X366" s="476"/>
      <c r="Y366" s="135" t="str">
        <f t="shared" si="83"/>
        <v/>
      </c>
      <c r="Z366" s="426" t="str">
        <f t="shared" si="84"/>
        <v/>
      </c>
      <c r="AA366" s="136" t="str">
        <f t="shared" si="85"/>
        <v/>
      </c>
      <c r="AB366" s="185"/>
      <c r="AC366" s="185"/>
      <c r="AD366" s="185"/>
      <c r="AE366" s="185"/>
      <c r="AF366" s="185"/>
    </row>
    <row r="367" spans="1:32" s="115" customFormat="1" ht="16" customHeight="1">
      <c r="A367" s="273"/>
      <c r="B367" s="109" t="s">
        <v>38</v>
      </c>
      <c r="C367" s="137" t="s">
        <v>54</v>
      </c>
      <c r="D367" s="137" t="s">
        <v>712</v>
      </c>
      <c r="E367" s="492"/>
      <c r="F367" s="109"/>
      <c r="G367" s="133"/>
      <c r="H367" s="133"/>
      <c r="I367" s="109"/>
      <c r="J367" s="109"/>
      <c r="K367" s="133"/>
      <c r="L367" s="109"/>
      <c r="M367" s="109"/>
      <c r="N367" s="109"/>
      <c r="O367" s="391"/>
      <c r="P367" s="138" t="s">
        <v>5</v>
      </c>
      <c r="Q367" s="139"/>
      <c r="R367" s="392"/>
      <c r="S367" s="393">
        <f t="shared" si="80"/>
        <v>0</v>
      </c>
      <c r="T367" s="387" t="e">
        <f t="shared" si="81"/>
        <v>#DIV/0!</v>
      </c>
      <c r="U367" s="141" t="str">
        <f t="shared" si="82"/>
        <v/>
      </c>
      <c r="V367" s="142"/>
      <c r="W367" s="143"/>
      <c r="X367" s="476"/>
      <c r="Y367" s="135" t="str">
        <f t="shared" si="83"/>
        <v/>
      </c>
      <c r="Z367" s="426" t="str">
        <f t="shared" si="84"/>
        <v/>
      </c>
      <c r="AA367" s="136" t="str">
        <f t="shared" si="85"/>
        <v/>
      </c>
      <c r="AB367" s="185"/>
      <c r="AC367" s="185"/>
      <c r="AD367" s="185"/>
      <c r="AE367" s="185"/>
      <c r="AF367" s="185"/>
    </row>
    <row r="368" spans="1:32" s="115" customFormat="1" ht="15" customHeight="1">
      <c r="A368" s="273">
        <v>45855</v>
      </c>
      <c r="B368" s="109" t="s">
        <v>38</v>
      </c>
      <c r="C368" s="137" t="s">
        <v>455</v>
      </c>
      <c r="D368" s="137" t="s">
        <v>713</v>
      </c>
      <c r="E368" s="492"/>
      <c r="F368" s="109"/>
      <c r="G368" s="133">
        <v>1387</v>
      </c>
      <c r="H368" s="133">
        <f>380-30</f>
        <v>350</v>
      </c>
      <c r="I368" s="109"/>
      <c r="J368" s="109"/>
      <c r="K368" s="133"/>
      <c r="L368" s="109"/>
      <c r="M368" s="109"/>
      <c r="N368" s="109"/>
      <c r="O368" s="391"/>
      <c r="P368" s="138" t="s">
        <v>5</v>
      </c>
      <c r="Q368" s="139">
        <v>1026230</v>
      </c>
      <c r="R368" s="392">
        <v>0.16</v>
      </c>
      <c r="S368" s="393">
        <f t="shared" si="80"/>
        <v>164196.80000000002</v>
      </c>
      <c r="T368" s="387">
        <f t="shared" si="81"/>
        <v>739.89185291997114</v>
      </c>
      <c r="U368" s="141">
        <f t="shared" si="82"/>
        <v>45915</v>
      </c>
      <c r="V368" s="142"/>
      <c r="W368" s="143"/>
      <c r="X368" s="476"/>
      <c r="Y368" s="135" t="str">
        <f t="shared" si="83"/>
        <v/>
      </c>
      <c r="Z368" s="426" t="str">
        <f t="shared" si="84"/>
        <v/>
      </c>
      <c r="AA368" s="136" t="str">
        <f t="shared" si="85"/>
        <v/>
      </c>
      <c r="AB368" s="185"/>
      <c r="AC368" s="185"/>
      <c r="AD368" s="185"/>
      <c r="AE368" s="185"/>
      <c r="AF368" s="185"/>
    </row>
    <row r="369" spans="1:32" s="115" customFormat="1" ht="16" customHeight="1">
      <c r="A369" s="273">
        <v>45861</v>
      </c>
      <c r="B369" s="109" t="s">
        <v>38</v>
      </c>
      <c r="C369" s="137" t="s">
        <v>54</v>
      </c>
      <c r="D369" s="137" t="s">
        <v>714</v>
      </c>
      <c r="E369" s="492"/>
      <c r="F369" s="109"/>
      <c r="G369" s="133">
        <v>283</v>
      </c>
      <c r="H369" s="133">
        <v>75</v>
      </c>
      <c r="I369" s="109"/>
      <c r="J369" s="109"/>
      <c r="K369" s="133"/>
      <c r="L369" s="109"/>
      <c r="M369" s="109"/>
      <c r="N369" s="109"/>
      <c r="O369" s="391"/>
      <c r="P369" s="138" t="s">
        <v>3</v>
      </c>
      <c r="Q369" s="139">
        <v>293600</v>
      </c>
      <c r="R369" s="392">
        <v>0.14000000000000001</v>
      </c>
      <c r="S369" s="393">
        <f t="shared" si="80"/>
        <v>41104.000000000007</v>
      </c>
      <c r="T369" s="387">
        <f t="shared" si="81"/>
        <v>1037.4558303886927</v>
      </c>
      <c r="U369" s="141">
        <f t="shared" si="82"/>
        <v>45921</v>
      </c>
      <c r="V369" s="142"/>
      <c r="W369" s="143"/>
      <c r="X369" s="476"/>
      <c r="Y369" s="135" t="str">
        <f t="shared" si="83"/>
        <v>x</v>
      </c>
      <c r="Z369" s="426" t="str">
        <f t="shared" si="84"/>
        <v/>
      </c>
      <c r="AA369" s="136" t="str">
        <f t="shared" si="85"/>
        <v/>
      </c>
      <c r="AB369" s="185"/>
      <c r="AC369" s="185"/>
      <c r="AD369" s="185"/>
      <c r="AE369" s="185"/>
      <c r="AF369" s="185"/>
    </row>
    <row r="370" spans="1:32" s="115" customFormat="1" ht="16" customHeight="1">
      <c r="A370" s="273">
        <v>45876</v>
      </c>
      <c r="B370" s="109" t="s">
        <v>38</v>
      </c>
      <c r="C370" s="137" t="s">
        <v>54</v>
      </c>
      <c r="D370" s="137" t="s">
        <v>715</v>
      </c>
      <c r="E370" s="492"/>
      <c r="F370" s="109"/>
      <c r="G370" s="133">
        <v>1185</v>
      </c>
      <c r="H370" s="133">
        <v>265</v>
      </c>
      <c r="I370" s="109"/>
      <c r="J370" s="109"/>
      <c r="K370" s="133"/>
      <c r="L370" s="109"/>
      <c r="M370" s="109"/>
      <c r="N370" s="109"/>
      <c r="O370" s="391"/>
      <c r="P370" s="138" t="s">
        <v>5</v>
      </c>
      <c r="Q370" s="139">
        <v>897110</v>
      </c>
      <c r="R370" s="392">
        <v>0.16769999999999999</v>
      </c>
      <c r="S370" s="393">
        <f t="shared" si="80"/>
        <v>150445.34699999998</v>
      </c>
      <c r="T370" s="387">
        <f t="shared" si="81"/>
        <v>757.05485232067508</v>
      </c>
      <c r="U370" s="141">
        <f t="shared" si="82"/>
        <v>45936</v>
      </c>
      <c r="V370" s="142"/>
      <c r="W370" s="143"/>
      <c r="X370" s="476"/>
      <c r="Y370" s="135" t="str">
        <f t="shared" si="83"/>
        <v/>
      </c>
      <c r="Z370" s="426" t="str">
        <f t="shared" si="84"/>
        <v/>
      </c>
      <c r="AA370" s="136" t="str">
        <f t="shared" si="85"/>
        <v/>
      </c>
      <c r="AB370" s="185"/>
      <c r="AC370" s="185"/>
      <c r="AD370" s="185"/>
      <c r="AE370" s="185"/>
      <c r="AF370" s="185"/>
    </row>
    <row r="371" spans="1:32" s="115" customFormat="1" ht="16" customHeight="1">
      <c r="A371" s="273">
        <v>45894</v>
      </c>
      <c r="B371" s="109" t="s">
        <v>38</v>
      </c>
      <c r="C371" s="137" t="s">
        <v>54</v>
      </c>
      <c r="D371" s="137" t="s">
        <v>716</v>
      </c>
      <c r="E371" s="492"/>
      <c r="F371" s="109"/>
      <c r="G371" s="133">
        <v>3980</v>
      </c>
      <c r="H371" s="133">
        <f>787</f>
        <v>787</v>
      </c>
      <c r="I371" s="109"/>
      <c r="J371" s="109"/>
      <c r="K371" s="133"/>
      <c r="L371" s="109"/>
      <c r="M371" s="109"/>
      <c r="N371" s="109"/>
      <c r="O371" s="391"/>
      <c r="P371" s="138" t="s">
        <v>3</v>
      </c>
      <c r="Q371" s="139">
        <v>2636710</v>
      </c>
      <c r="R371" s="392">
        <v>0.09</v>
      </c>
      <c r="S371" s="393">
        <f t="shared" si="80"/>
        <v>237303.9</v>
      </c>
      <c r="T371" s="387">
        <f t="shared" si="81"/>
        <v>662.4899497487437</v>
      </c>
      <c r="U371" s="141">
        <f t="shared" si="82"/>
        <v>45954</v>
      </c>
      <c r="V371" s="142"/>
      <c r="W371" s="143"/>
      <c r="X371" s="476"/>
      <c r="Y371" s="135"/>
      <c r="Z371" s="426"/>
      <c r="AA371" s="136"/>
      <c r="AB371" s="185"/>
      <c r="AC371" s="185"/>
      <c r="AD371" s="185"/>
      <c r="AE371" s="185"/>
      <c r="AF371" s="185"/>
    </row>
    <row r="372" spans="1:32" s="115" customFormat="1" ht="16" customHeight="1">
      <c r="A372" s="273">
        <v>45867</v>
      </c>
      <c r="B372" s="109" t="s">
        <v>38</v>
      </c>
      <c r="C372" s="137" t="s">
        <v>54</v>
      </c>
      <c r="D372" s="137" t="s">
        <v>717</v>
      </c>
      <c r="E372" s="492"/>
      <c r="F372" s="109"/>
      <c r="G372" s="133">
        <v>1615</v>
      </c>
      <c r="H372" s="133">
        <f>348</f>
        <v>348</v>
      </c>
      <c r="I372" s="109"/>
      <c r="J372" s="109"/>
      <c r="K372" s="133"/>
      <c r="L372" s="109"/>
      <c r="M372" s="109"/>
      <c r="N372" s="109"/>
      <c r="O372" s="391"/>
      <c r="P372" s="138" t="s">
        <v>5</v>
      </c>
      <c r="Q372" s="139">
        <v>1075240</v>
      </c>
      <c r="R372" s="392">
        <v>0.1678</v>
      </c>
      <c r="S372" s="393">
        <f t="shared" si="80"/>
        <v>180425.272</v>
      </c>
      <c r="T372" s="387">
        <f t="shared" si="81"/>
        <v>665.78328173374609</v>
      </c>
      <c r="U372" s="141">
        <f t="shared" si="82"/>
        <v>45927</v>
      </c>
      <c r="V372" s="142"/>
      <c r="W372" s="143"/>
      <c r="X372" s="476"/>
      <c r="Y372" s="135"/>
      <c r="Z372" s="426"/>
      <c r="AA372" s="136"/>
      <c r="AB372" s="185"/>
      <c r="AC372" s="185"/>
      <c r="AD372" s="185"/>
      <c r="AE372" s="185"/>
      <c r="AF372" s="185"/>
    </row>
    <row r="373" spans="1:32" s="115" customFormat="1" ht="16" customHeight="1">
      <c r="A373" s="273"/>
      <c r="B373" s="109" t="s">
        <v>38</v>
      </c>
      <c r="C373" s="137" t="s">
        <v>54</v>
      </c>
      <c r="D373" s="137" t="s">
        <v>718</v>
      </c>
      <c r="E373" s="492">
        <v>45880</v>
      </c>
      <c r="F373" s="109"/>
      <c r="G373" s="133"/>
      <c r="H373" s="133"/>
      <c r="I373" s="109"/>
      <c r="J373" s="109"/>
      <c r="K373" s="133"/>
      <c r="L373" s="109"/>
      <c r="M373" s="109"/>
      <c r="N373" s="109"/>
      <c r="O373" s="391"/>
      <c r="P373" s="138" t="s">
        <v>5</v>
      </c>
      <c r="Q373" s="139">
        <v>3088480</v>
      </c>
      <c r="R373" s="392"/>
      <c r="S373" s="393">
        <f t="shared" si="80"/>
        <v>0</v>
      </c>
      <c r="T373" s="387" t="e">
        <f t="shared" si="81"/>
        <v>#DIV/0!</v>
      </c>
      <c r="U373" s="141" t="str">
        <f t="shared" si="82"/>
        <v/>
      </c>
      <c r="V373" s="142"/>
      <c r="W373" s="143"/>
      <c r="X373" s="476"/>
      <c r="Y373" s="135"/>
      <c r="Z373" s="426"/>
      <c r="AA373" s="136"/>
      <c r="AB373" s="185"/>
      <c r="AC373" s="185"/>
      <c r="AD373" s="185"/>
      <c r="AE373" s="185"/>
      <c r="AF373" s="185"/>
    </row>
    <row r="374" spans="1:32" s="115" customFormat="1" ht="16" customHeight="1">
      <c r="A374" s="273">
        <v>45867</v>
      </c>
      <c r="B374" s="109" t="s">
        <v>38</v>
      </c>
      <c r="C374" s="137" t="s">
        <v>54</v>
      </c>
      <c r="D374" s="137" t="s">
        <v>719</v>
      </c>
      <c r="E374" s="492"/>
      <c r="F374" s="109"/>
      <c r="G374" s="133">
        <v>5598</v>
      </c>
      <c r="H374" s="133">
        <f>971-40</f>
        <v>931</v>
      </c>
      <c r="I374" s="109"/>
      <c r="J374" s="109"/>
      <c r="K374" s="133"/>
      <c r="L374" s="109"/>
      <c r="M374" s="109"/>
      <c r="N374" s="109"/>
      <c r="O374" s="391"/>
      <c r="P374" s="138" t="s">
        <v>5</v>
      </c>
      <c r="Q374" s="139">
        <v>3286530</v>
      </c>
      <c r="R374" s="392">
        <v>0.15</v>
      </c>
      <c r="S374" s="393">
        <f t="shared" si="80"/>
        <v>492979.5</v>
      </c>
      <c r="T374" s="387">
        <f t="shared" si="81"/>
        <v>587.09003215434086</v>
      </c>
      <c r="U374" s="141">
        <f t="shared" si="82"/>
        <v>45927</v>
      </c>
      <c r="V374" s="142"/>
      <c r="W374" s="143"/>
      <c r="X374" s="476"/>
      <c r="Y374" s="135"/>
      <c r="Z374" s="426"/>
      <c r="AA374" s="136"/>
      <c r="AB374" s="185"/>
      <c r="AC374" s="185"/>
      <c r="AD374" s="185"/>
      <c r="AE374" s="185"/>
      <c r="AF374" s="185"/>
    </row>
    <row r="375" spans="1:32" s="115" customFormat="1" ht="16" customHeight="1">
      <c r="A375" s="273">
        <v>45868</v>
      </c>
      <c r="B375" s="109" t="s">
        <v>38</v>
      </c>
      <c r="C375" s="137" t="s">
        <v>54</v>
      </c>
      <c r="D375" s="137" t="s">
        <v>720</v>
      </c>
      <c r="E375" s="492"/>
      <c r="F375" s="109"/>
      <c r="G375" s="133">
        <v>2363</v>
      </c>
      <c r="H375" s="133">
        <f>530-50</f>
        <v>480</v>
      </c>
      <c r="I375" s="109"/>
      <c r="J375" s="109"/>
      <c r="K375" s="133"/>
      <c r="L375" s="109"/>
      <c r="M375" s="109"/>
      <c r="N375" s="109"/>
      <c r="O375" s="391"/>
      <c r="P375" s="138" t="s">
        <v>5</v>
      </c>
      <c r="Q375" s="139">
        <v>1672910</v>
      </c>
      <c r="R375" s="392">
        <v>0.1678</v>
      </c>
      <c r="S375" s="393">
        <f t="shared" si="80"/>
        <v>280714.29800000001</v>
      </c>
      <c r="T375" s="387">
        <f t="shared" si="81"/>
        <v>707.96022005924669</v>
      </c>
      <c r="U375" s="141">
        <f t="shared" si="82"/>
        <v>45928</v>
      </c>
      <c r="V375" s="142"/>
      <c r="W375" s="143"/>
      <c r="X375" s="476"/>
      <c r="Y375" s="135"/>
      <c r="Z375" s="426"/>
      <c r="AA375" s="136"/>
      <c r="AB375" s="185"/>
      <c r="AC375" s="185"/>
      <c r="AD375" s="185"/>
      <c r="AE375" s="185"/>
      <c r="AF375" s="185"/>
    </row>
    <row r="376" spans="1:32" s="115" customFormat="1" ht="16" customHeight="1">
      <c r="A376" s="273">
        <v>45894</v>
      </c>
      <c r="B376" s="109" t="s">
        <v>38</v>
      </c>
      <c r="C376" s="137" t="s">
        <v>54</v>
      </c>
      <c r="D376" s="137" t="s">
        <v>721</v>
      </c>
      <c r="E376" s="492"/>
      <c r="F376" s="109" t="s">
        <v>130</v>
      </c>
      <c r="G376" s="133">
        <v>7622</v>
      </c>
      <c r="H376" s="133">
        <f>1302-82</f>
        <v>1220</v>
      </c>
      <c r="I376" s="109"/>
      <c r="J376" s="109"/>
      <c r="K376" s="133"/>
      <c r="L376" s="109"/>
      <c r="M376" s="109"/>
      <c r="N376" s="109"/>
      <c r="O376" s="134"/>
      <c r="P376" s="138" t="s">
        <v>5</v>
      </c>
      <c r="Q376" s="139">
        <v>4377140</v>
      </c>
      <c r="R376" s="250">
        <v>0.15</v>
      </c>
      <c r="S376" s="292">
        <f t="shared" si="80"/>
        <v>656571</v>
      </c>
      <c r="T376" s="140">
        <f t="shared" si="81"/>
        <v>574.27709262660721</v>
      </c>
      <c r="U376" s="141">
        <f t="shared" si="82"/>
        <v>45954</v>
      </c>
      <c r="V376" s="142"/>
      <c r="W376" s="143"/>
      <c r="X376" s="476"/>
      <c r="Y376" s="135"/>
      <c r="Z376" s="426"/>
      <c r="AA376" s="136"/>
      <c r="AB376" s="185"/>
      <c r="AC376" s="185"/>
      <c r="AD376" s="185"/>
      <c r="AE376" s="185"/>
      <c r="AF376" s="185"/>
    </row>
    <row r="377" spans="1:32" s="115" customFormat="1" ht="16" customHeight="1">
      <c r="A377" s="273">
        <v>45887</v>
      </c>
      <c r="B377" s="109" t="s">
        <v>38</v>
      </c>
      <c r="C377" s="137" t="s">
        <v>455</v>
      </c>
      <c r="D377" s="137" t="s">
        <v>722</v>
      </c>
      <c r="E377" s="492"/>
      <c r="F377" s="109" t="s">
        <v>700</v>
      </c>
      <c r="G377" s="133">
        <v>2942</v>
      </c>
      <c r="H377" s="133">
        <f>660-79</f>
        <v>581</v>
      </c>
      <c r="I377" s="109"/>
      <c r="J377" s="109"/>
      <c r="K377" s="133"/>
      <c r="L377" s="109"/>
      <c r="M377" s="109"/>
      <c r="N377" s="109"/>
      <c r="O377" s="134"/>
      <c r="P377" s="138" t="s">
        <v>5</v>
      </c>
      <c r="Q377" s="139">
        <v>1949160</v>
      </c>
      <c r="R377" s="250">
        <v>0.14000000000000001</v>
      </c>
      <c r="S377" s="292">
        <f t="shared" si="80"/>
        <v>272882.40000000002</v>
      </c>
      <c r="T377" s="140">
        <f t="shared" si="81"/>
        <v>662.52889191026509</v>
      </c>
      <c r="U377" s="141">
        <f t="shared" si="82"/>
        <v>45947</v>
      </c>
      <c r="V377" s="142"/>
      <c r="W377" s="143"/>
      <c r="X377" s="476"/>
      <c r="Y377" s="135"/>
      <c r="Z377" s="426"/>
      <c r="AA377" s="136"/>
      <c r="AB377" s="185"/>
      <c r="AC377" s="185"/>
      <c r="AD377" s="185"/>
      <c r="AE377" s="185"/>
      <c r="AF377" s="185"/>
    </row>
    <row r="378" spans="1:32" s="115" customFormat="1" ht="16" customHeight="1">
      <c r="A378" s="273">
        <v>45902</v>
      </c>
      <c r="B378" s="109" t="s">
        <v>38</v>
      </c>
      <c r="C378" s="137" t="s">
        <v>54</v>
      </c>
      <c r="D378" s="137" t="s">
        <v>723</v>
      </c>
      <c r="E378" s="492"/>
      <c r="F378" s="109" t="s">
        <v>61</v>
      </c>
      <c r="G378" s="133">
        <v>789</v>
      </c>
      <c r="H378" s="133">
        <f>192-33</f>
        <v>159</v>
      </c>
      <c r="I378" s="109"/>
      <c r="J378" s="109"/>
      <c r="K378" s="133"/>
      <c r="L378" s="109"/>
      <c r="M378" s="109"/>
      <c r="N378" s="109"/>
      <c r="O378" s="391"/>
      <c r="P378" s="138" t="s">
        <v>5</v>
      </c>
      <c r="Q378" s="139">
        <v>601730</v>
      </c>
      <c r="R378" s="392">
        <v>0.16</v>
      </c>
      <c r="S378" s="393">
        <f t="shared" si="80"/>
        <v>96276.800000000003</v>
      </c>
      <c r="T378" s="387">
        <f t="shared" si="81"/>
        <v>762.64892268694553</v>
      </c>
      <c r="U378" s="141">
        <f t="shared" si="82"/>
        <v>45962</v>
      </c>
      <c r="V378" s="142"/>
      <c r="W378" s="143"/>
      <c r="X378" s="568"/>
      <c r="Y378" s="569"/>
      <c r="Z378" s="570"/>
      <c r="AA378" s="571"/>
      <c r="AB378" s="185"/>
      <c r="AC378" s="185"/>
      <c r="AD378" s="185"/>
      <c r="AE378" s="185"/>
      <c r="AF378" s="185"/>
    </row>
    <row r="379" spans="1:32" s="115" customFormat="1" ht="16" customHeight="1">
      <c r="A379" s="273">
        <v>45902</v>
      </c>
      <c r="B379" s="109" t="s">
        <v>38</v>
      </c>
      <c r="C379" s="137" t="s">
        <v>54</v>
      </c>
      <c r="D379" s="137" t="s">
        <v>724</v>
      </c>
      <c r="E379" s="492"/>
      <c r="F379" s="109"/>
      <c r="G379" s="133">
        <v>2365</v>
      </c>
      <c r="H379" s="133">
        <f>476-30</f>
        <v>446</v>
      </c>
      <c r="I379" s="109"/>
      <c r="J379" s="109"/>
      <c r="K379" s="133"/>
      <c r="L379" s="109"/>
      <c r="M379" s="109"/>
      <c r="N379" s="109"/>
      <c r="O379" s="391"/>
      <c r="P379" s="138" t="s">
        <v>5</v>
      </c>
      <c r="Q379" s="139">
        <v>1506600</v>
      </c>
      <c r="R379" s="392">
        <v>0.16</v>
      </c>
      <c r="S379" s="393">
        <f t="shared" si="80"/>
        <v>241056</v>
      </c>
      <c r="T379" s="387">
        <f t="shared" si="81"/>
        <v>637.04016913319242</v>
      </c>
      <c r="U379" s="141">
        <f t="shared" si="82"/>
        <v>45962</v>
      </c>
      <c r="V379" s="142"/>
      <c r="W379" s="143"/>
      <c r="X379" s="568"/>
      <c r="Y379" s="569"/>
      <c r="Z379" s="570"/>
      <c r="AA379" s="571"/>
      <c r="AB379" s="185"/>
      <c r="AC379" s="185"/>
      <c r="AD379" s="185"/>
      <c r="AE379" s="185"/>
      <c r="AF379" s="185"/>
    </row>
    <row r="380" spans="1:32" s="115" customFormat="1" ht="16" customHeight="1">
      <c r="A380" s="273">
        <v>45905</v>
      </c>
      <c r="B380" s="109" t="s">
        <v>38</v>
      </c>
      <c r="C380" s="137" t="s">
        <v>54</v>
      </c>
      <c r="D380" s="137" t="s">
        <v>725</v>
      </c>
      <c r="E380" s="492"/>
      <c r="F380" s="109"/>
      <c r="G380" s="133">
        <v>855</v>
      </c>
      <c r="H380" s="133">
        <f>190-25</f>
        <v>165</v>
      </c>
      <c r="I380" s="109"/>
      <c r="J380" s="109"/>
      <c r="K380" s="133"/>
      <c r="L380" s="109"/>
      <c r="M380" s="109"/>
      <c r="N380" s="109"/>
      <c r="O380" s="391"/>
      <c r="P380" s="138" t="s">
        <v>5</v>
      </c>
      <c r="Q380" s="139">
        <v>614430</v>
      </c>
      <c r="R380" s="392">
        <v>0.16</v>
      </c>
      <c r="S380" s="393">
        <f t="shared" si="80"/>
        <v>98308.800000000003</v>
      </c>
      <c r="T380" s="387">
        <f t="shared" si="81"/>
        <v>718.63157894736844</v>
      </c>
      <c r="U380" s="141">
        <f t="shared" si="82"/>
        <v>45965</v>
      </c>
      <c r="V380" s="142"/>
      <c r="W380" s="143"/>
      <c r="X380" s="568"/>
      <c r="Y380" s="569"/>
      <c r="Z380" s="570"/>
      <c r="AA380" s="571"/>
      <c r="AB380" s="185"/>
      <c r="AC380" s="185"/>
      <c r="AD380" s="185"/>
      <c r="AE380" s="185"/>
      <c r="AF380" s="185"/>
    </row>
    <row r="381" spans="1:32" s="115" customFormat="1" ht="16" customHeight="1">
      <c r="A381" s="273">
        <v>45905</v>
      </c>
      <c r="B381" s="109" t="s">
        <v>38</v>
      </c>
      <c r="C381" s="137" t="s">
        <v>54</v>
      </c>
      <c r="D381" s="137" t="s">
        <v>726</v>
      </c>
      <c r="E381" s="492"/>
      <c r="F381" s="109"/>
      <c r="G381" s="133">
        <v>988</v>
      </c>
      <c r="H381" s="133">
        <f>288-17</f>
        <v>271</v>
      </c>
      <c r="I381" s="109"/>
      <c r="J381" s="109"/>
      <c r="K381" s="133"/>
      <c r="L381" s="109"/>
      <c r="M381" s="109"/>
      <c r="N381" s="109"/>
      <c r="O381" s="391"/>
      <c r="P381" s="138" t="s">
        <v>5</v>
      </c>
      <c r="Q381" s="139">
        <v>746560</v>
      </c>
      <c r="R381" s="392">
        <v>0.16</v>
      </c>
      <c r="S381" s="393">
        <f t="shared" si="80"/>
        <v>119449.60000000001</v>
      </c>
      <c r="T381" s="387">
        <f t="shared" si="81"/>
        <v>755.62753036437243</v>
      </c>
      <c r="U381" s="141">
        <f t="shared" si="82"/>
        <v>45965</v>
      </c>
      <c r="V381" s="142"/>
      <c r="W381" s="143"/>
      <c r="X381" s="568"/>
      <c r="Y381" s="569"/>
      <c r="Z381" s="570"/>
      <c r="AA381" s="571"/>
      <c r="AB381" s="185"/>
      <c r="AC381" s="185"/>
      <c r="AD381" s="185"/>
      <c r="AE381" s="185"/>
      <c r="AF381" s="185"/>
    </row>
    <row r="382" spans="1:32" s="115" customFormat="1" ht="16" customHeight="1">
      <c r="A382" s="273"/>
      <c r="B382" s="109" t="s">
        <v>38</v>
      </c>
      <c r="C382" s="137" t="s">
        <v>54</v>
      </c>
      <c r="D382" s="137" t="s">
        <v>727</v>
      </c>
      <c r="E382" s="492"/>
      <c r="F382" s="109"/>
      <c r="G382" s="133"/>
      <c r="H382" s="133"/>
      <c r="I382" s="109"/>
      <c r="J382" s="109"/>
      <c r="K382" s="133"/>
      <c r="L382" s="109"/>
      <c r="M382" s="109"/>
      <c r="N382" s="109"/>
      <c r="O382" s="391"/>
      <c r="P382" s="138" t="s">
        <v>80</v>
      </c>
      <c r="Q382" s="139"/>
      <c r="R382" s="392"/>
      <c r="S382" s="393">
        <f t="shared" si="80"/>
        <v>0</v>
      </c>
      <c r="T382" s="387" t="e">
        <f t="shared" si="81"/>
        <v>#DIV/0!</v>
      </c>
      <c r="U382" s="141" t="str">
        <f t="shared" si="82"/>
        <v/>
      </c>
      <c r="V382" s="142"/>
      <c r="W382" s="143"/>
      <c r="X382" s="568"/>
      <c r="Y382" s="569"/>
      <c r="Z382" s="570"/>
      <c r="AA382" s="571"/>
      <c r="AB382" s="185"/>
      <c r="AC382" s="185"/>
      <c r="AD382" s="185"/>
      <c r="AE382" s="185"/>
      <c r="AF382" s="185"/>
    </row>
    <row r="383" spans="1:32" s="115" customFormat="1" ht="16" customHeight="1">
      <c r="A383" s="273">
        <v>45931</v>
      </c>
      <c r="B383" s="109" t="s">
        <v>38</v>
      </c>
      <c r="C383" s="137" t="s">
        <v>54</v>
      </c>
      <c r="D383" s="137" t="s">
        <v>728</v>
      </c>
      <c r="E383" s="492"/>
      <c r="F383" s="109"/>
      <c r="G383" s="133"/>
      <c r="H383" s="133"/>
      <c r="I383" s="109"/>
      <c r="J383" s="109"/>
      <c r="K383" s="133"/>
      <c r="L383" s="109"/>
      <c r="M383" s="109"/>
      <c r="N383" s="109"/>
      <c r="O383" s="391"/>
      <c r="P383" s="138" t="s">
        <v>5</v>
      </c>
      <c r="Q383" s="139">
        <v>844000</v>
      </c>
      <c r="R383" s="392"/>
      <c r="S383" s="393">
        <f t="shared" si="80"/>
        <v>0</v>
      </c>
      <c r="T383" s="387" t="e">
        <f t="shared" si="81"/>
        <v>#DIV/0!</v>
      </c>
      <c r="U383" s="141">
        <f t="shared" si="82"/>
        <v>45991</v>
      </c>
      <c r="V383" s="142"/>
      <c r="W383" s="143"/>
      <c r="X383" s="568"/>
      <c r="Y383" s="569"/>
      <c r="Z383" s="570"/>
      <c r="AA383" s="571"/>
      <c r="AB383" s="185"/>
      <c r="AC383" s="185"/>
      <c r="AD383" s="185"/>
      <c r="AE383" s="185"/>
      <c r="AF383" s="185"/>
    </row>
    <row r="384" spans="1:32" s="115" customFormat="1" ht="16" customHeight="1">
      <c r="A384" s="273">
        <v>45915</v>
      </c>
      <c r="B384" s="138" t="s">
        <v>38</v>
      </c>
      <c r="C384" s="137" t="s">
        <v>455</v>
      </c>
      <c r="D384" s="137" t="s">
        <v>729</v>
      </c>
      <c r="E384" s="492"/>
      <c r="F384" s="109"/>
      <c r="G384" s="133"/>
      <c r="H384" s="133"/>
      <c r="I384" s="109"/>
      <c r="J384" s="109"/>
      <c r="K384" s="133"/>
      <c r="L384" s="109"/>
      <c r="M384" s="109"/>
      <c r="N384" s="109"/>
      <c r="O384" s="391"/>
      <c r="P384" s="138" t="s">
        <v>5</v>
      </c>
      <c r="Q384" s="139">
        <v>4638620</v>
      </c>
      <c r="R384" s="392"/>
      <c r="S384" s="393">
        <f t="shared" si="80"/>
        <v>0</v>
      </c>
      <c r="T384" s="387" t="e">
        <f t="shared" si="81"/>
        <v>#DIV/0!</v>
      </c>
      <c r="U384" s="141">
        <f t="shared" si="82"/>
        <v>45975</v>
      </c>
      <c r="V384" s="142"/>
      <c r="W384" s="143"/>
      <c r="X384" s="568"/>
      <c r="Y384" s="569"/>
      <c r="Z384" s="570"/>
      <c r="AA384" s="571"/>
      <c r="AB384" s="185"/>
      <c r="AC384" s="185"/>
      <c r="AD384" s="185"/>
      <c r="AE384" s="185"/>
      <c r="AF384" s="185"/>
    </row>
    <row r="385" spans="1:32" s="115" customFormat="1" ht="16" customHeight="1">
      <c r="A385" s="273">
        <v>45916</v>
      </c>
      <c r="B385" s="138" t="s">
        <v>38</v>
      </c>
      <c r="C385" s="137" t="s">
        <v>54</v>
      </c>
      <c r="D385" s="137" t="s">
        <v>730</v>
      </c>
      <c r="E385" s="492"/>
      <c r="F385" s="109"/>
      <c r="G385" s="133"/>
      <c r="H385" s="133"/>
      <c r="I385" s="109"/>
      <c r="J385" s="109"/>
      <c r="K385" s="133"/>
      <c r="L385" s="109"/>
      <c r="M385" s="109"/>
      <c r="N385" s="109"/>
      <c r="O385" s="391"/>
      <c r="P385" s="138" t="s">
        <v>5</v>
      </c>
      <c r="Q385" s="139">
        <v>2913920</v>
      </c>
      <c r="R385" s="392"/>
      <c r="S385" s="393">
        <f t="shared" si="80"/>
        <v>0</v>
      </c>
      <c r="T385" s="387" t="e">
        <f t="shared" si="81"/>
        <v>#DIV/0!</v>
      </c>
      <c r="U385" s="141">
        <f t="shared" si="82"/>
        <v>45976</v>
      </c>
      <c r="V385" s="142"/>
      <c r="W385" s="143"/>
      <c r="X385" s="568"/>
      <c r="Y385" s="569"/>
      <c r="Z385" s="570"/>
      <c r="AA385" s="571"/>
      <c r="AB385" s="185"/>
      <c r="AC385" s="185"/>
      <c r="AD385" s="185"/>
      <c r="AE385" s="185"/>
      <c r="AF385" s="185"/>
    </row>
    <row r="386" spans="1:32" s="115" customFormat="1" ht="16" customHeight="1">
      <c r="A386" s="273">
        <v>45919</v>
      </c>
      <c r="B386" s="138" t="s">
        <v>38</v>
      </c>
      <c r="C386" s="137" t="s">
        <v>54</v>
      </c>
      <c r="D386" s="137" t="s">
        <v>731</v>
      </c>
      <c r="E386" s="492"/>
      <c r="F386" s="109"/>
      <c r="G386" s="133"/>
      <c r="H386" s="133"/>
      <c r="I386" s="109"/>
      <c r="J386" s="109"/>
      <c r="K386" s="133"/>
      <c r="L386" s="109"/>
      <c r="M386" s="109"/>
      <c r="N386" s="109"/>
      <c r="O386" s="391"/>
      <c r="P386" s="138" t="s">
        <v>5</v>
      </c>
      <c r="Q386" s="139">
        <v>3707840</v>
      </c>
      <c r="R386" s="392"/>
      <c r="S386" s="393">
        <f t="shared" si="80"/>
        <v>0</v>
      </c>
      <c r="T386" s="387" t="e">
        <f t="shared" si="81"/>
        <v>#DIV/0!</v>
      </c>
      <c r="U386" s="141">
        <f t="shared" si="82"/>
        <v>45979</v>
      </c>
      <c r="V386" s="142"/>
      <c r="W386" s="143"/>
      <c r="X386" s="568"/>
      <c r="Y386" s="569"/>
      <c r="Z386" s="570"/>
      <c r="AA386" s="571"/>
      <c r="AB386" s="185"/>
      <c r="AC386" s="185"/>
      <c r="AD386" s="185"/>
      <c r="AE386" s="185"/>
      <c r="AF386" s="185"/>
    </row>
    <row r="387" spans="1:32" s="115" customFormat="1" ht="16" customHeight="1">
      <c r="A387" s="273">
        <v>45999</v>
      </c>
      <c r="B387" s="138" t="s">
        <v>754</v>
      </c>
      <c r="C387" s="137" t="s">
        <v>1478</v>
      </c>
      <c r="D387" s="137" t="s">
        <v>732</v>
      </c>
      <c r="E387" s="492"/>
      <c r="F387" s="109"/>
      <c r="G387" s="133"/>
      <c r="H387" s="133"/>
      <c r="I387" s="109"/>
      <c r="J387" s="109"/>
      <c r="K387" s="133"/>
      <c r="L387" s="109"/>
      <c r="M387" s="109"/>
      <c r="N387" s="109"/>
      <c r="O387" s="391"/>
      <c r="P387" s="138" t="s">
        <v>5</v>
      </c>
      <c r="Q387" s="139">
        <v>1545800</v>
      </c>
      <c r="R387" s="392"/>
      <c r="S387" s="393">
        <f t="shared" si="80"/>
        <v>0</v>
      </c>
      <c r="T387" s="387" t="e">
        <f t="shared" si="81"/>
        <v>#DIV/0!</v>
      </c>
      <c r="U387" s="141">
        <f t="shared" si="82"/>
        <v>46059</v>
      </c>
      <c r="V387" s="142"/>
      <c r="W387" s="143"/>
      <c r="X387" s="568"/>
      <c r="Y387" s="569"/>
      <c r="Z387" s="570"/>
      <c r="AA387" s="571"/>
      <c r="AB387" s="185"/>
      <c r="AC387" s="185"/>
      <c r="AD387" s="185"/>
      <c r="AE387" s="185"/>
      <c r="AF387" s="185"/>
    </row>
    <row r="388" spans="1:32" s="115" customFormat="1" ht="16" customHeight="1">
      <c r="A388" s="273">
        <v>45923</v>
      </c>
      <c r="B388" s="138" t="s">
        <v>754</v>
      </c>
      <c r="C388" s="137" t="s">
        <v>54</v>
      </c>
      <c r="D388" s="137" t="s">
        <v>733</v>
      </c>
      <c r="E388" s="492"/>
      <c r="F388" s="109"/>
      <c r="G388" s="133"/>
      <c r="H388" s="133"/>
      <c r="I388" s="109"/>
      <c r="J388" s="109"/>
      <c r="K388" s="133"/>
      <c r="L388" s="109"/>
      <c r="M388" s="109"/>
      <c r="N388" s="109"/>
      <c r="O388" s="391"/>
      <c r="P388" s="138" t="s">
        <v>5</v>
      </c>
      <c r="Q388" s="139">
        <v>1384000</v>
      </c>
      <c r="R388" s="392"/>
      <c r="S388" s="393">
        <f t="shared" si="80"/>
        <v>0</v>
      </c>
      <c r="T388" s="387" t="e">
        <f t="shared" si="81"/>
        <v>#DIV/0!</v>
      </c>
      <c r="U388" s="141">
        <f t="shared" si="82"/>
        <v>45983</v>
      </c>
      <c r="V388" s="142"/>
      <c r="W388" s="143"/>
      <c r="X388" s="568"/>
      <c r="Y388" s="569"/>
      <c r="Z388" s="570"/>
      <c r="AA388" s="571"/>
      <c r="AB388" s="185"/>
      <c r="AC388" s="185"/>
      <c r="AD388" s="185"/>
      <c r="AE388" s="185"/>
      <c r="AF388" s="185"/>
    </row>
    <row r="389" spans="1:32" s="115" customFormat="1" ht="16" customHeight="1">
      <c r="A389" s="273">
        <v>45922</v>
      </c>
      <c r="B389" s="138" t="s">
        <v>38</v>
      </c>
      <c r="C389" s="137" t="s">
        <v>54</v>
      </c>
      <c r="D389" s="137" t="s">
        <v>734</v>
      </c>
      <c r="E389" s="492"/>
      <c r="F389" s="109"/>
      <c r="G389" s="133"/>
      <c r="H389" s="133"/>
      <c r="I389" s="109"/>
      <c r="J389" s="109"/>
      <c r="K389" s="133"/>
      <c r="L389" s="109"/>
      <c r="M389" s="109"/>
      <c r="N389" s="109"/>
      <c r="O389" s="391"/>
      <c r="P389" s="138" t="s">
        <v>5</v>
      </c>
      <c r="Q389" s="139">
        <v>4443980</v>
      </c>
      <c r="R389" s="392"/>
      <c r="S389" s="393">
        <f t="shared" si="80"/>
        <v>0</v>
      </c>
      <c r="T389" s="387" t="e">
        <f t="shared" si="81"/>
        <v>#DIV/0!</v>
      </c>
      <c r="U389" s="141">
        <f t="shared" si="82"/>
        <v>45982</v>
      </c>
      <c r="V389" s="142"/>
      <c r="W389" s="143"/>
      <c r="X389" s="568"/>
      <c r="Y389" s="569"/>
      <c r="Z389" s="570"/>
      <c r="AA389" s="571"/>
      <c r="AB389" s="185"/>
      <c r="AC389" s="185"/>
      <c r="AD389" s="185"/>
      <c r="AE389" s="185"/>
      <c r="AF389" s="185"/>
    </row>
    <row r="390" spans="1:32" s="115" customFormat="1" ht="16" customHeight="1">
      <c r="A390" s="273">
        <v>45930</v>
      </c>
      <c r="B390" s="138" t="s">
        <v>38</v>
      </c>
      <c r="C390" s="137" t="s">
        <v>54</v>
      </c>
      <c r="D390" s="137" t="s">
        <v>735</v>
      </c>
      <c r="E390" s="492"/>
      <c r="F390" s="109"/>
      <c r="G390" s="133"/>
      <c r="H390" s="133"/>
      <c r="I390" s="109"/>
      <c r="J390" s="109"/>
      <c r="K390" s="133"/>
      <c r="L390" s="109"/>
      <c r="M390" s="109"/>
      <c r="N390" s="109"/>
      <c r="O390" s="391"/>
      <c r="P390" s="138" t="s">
        <v>5</v>
      </c>
      <c r="Q390" s="139">
        <v>351100</v>
      </c>
      <c r="R390" s="392"/>
      <c r="S390" s="393">
        <f t="shared" si="80"/>
        <v>0</v>
      </c>
      <c r="T390" s="387" t="e">
        <f t="shared" si="81"/>
        <v>#DIV/0!</v>
      </c>
      <c r="U390" s="141">
        <f t="shared" si="82"/>
        <v>45990</v>
      </c>
      <c r="V390" s="142"/>
      <c r="W390" s="143"/>
      <c r="X390" s="568"/>
      <c r="Y390" s="569"/>
      <c r="Z390" s="570"/>
      <c r="AA390" s="571"/>
      <c r="AB390" s="185"/>
      <c r="AC390" s="185"/>
      <c r="AD390" s="185"/>
      <c r="AE390" s="185"/>
      <c r="AF390" s="185"/>
    </row>
    <row r="391" spans="1:32" s="115" customFormat="1" ht="16" customHeight="1">
      <c r="A391" s="273">
        <v>45933</v>
      </c>
      <c r="B391" s="138" t="s">
        <v>38</v>
      </c>
      <c r="C391" s="137" t="s">
        <v>54</v>
      </c>
      <c r="D391" s="137" t="s">
        <v>736</v>
      </c>
      <c r="E391" s="492"/>
      <c r="F391" s="109"/>
      <c r="G391" s="133"/>
      <c r="H391" s="133"/>
      <c r="I391" s="109"/>
      <c r="J391" s="109"/>
      <c r="K391" s="133"/>
      <c r="L391" s="109"/>
      <c r="M391" s="109"/>
      <c r="N391" s="109"/>
      <c r="O391" s="391"/>
      <c r="P391" s="138" t="s">
        <v>5</v>
      </c>
      <c r="Q391" s="139">
        <v>775510</v>
      </c>
      <c r="R391" s="392"/>
      <c r="S391" s="393">
        <f t="shared" si="80"/>
        <v>0</v>
      </c>
      <c r="T391" s="387" t="e">
        <f t="shared" si="81"/>
        <v>#DIV/0!</v>
      </c>
      <c r="U391" s="141">
        <f t="shared" si="82"/>
        <v>45993</v>
      </c>
      <c r="V391" s="142"/>
      <c r="W391" s="143"/>
      <c r="X391" s="568"/>
      <c r="Y391" s="569"/>
      <c r="Z391" s="570"/>
      <c r="AA391" s="571"/>
      <c r="AB391" s="185"/>
      <c r="AC391" s="185"/>
      <c r="AD391" s="185"/>
      <c r="AE391" s="185"/>
      <c r="AF391" s="185"/>
    </row>
    <row r="392" spans="1:32" s="115" customFormat="1" ht="16" customHeight="1">
      <c r="A392" s="273">
        <v>45996</v>
      </c>
      <c r="B392" s="138" t="s">
        <v>38</v>
      </c>
      <c r="C392" s="137" t="s">
        <v>54</v>
      </c>
      <c r="D392" s="137" t="s">
        <v>737</v>
      </c>
      <c r="E392" s="492"/>
      <c r="F392" s="109"/>
      <c r="G392" s="133"/>
      <c r="H392" s="133"/>
      <c r="I392" s="109"/>
      <c r="J392" s="109"/>
      <c r="K392" s="133"/>
      <c r="L392" s="109"/>
      <c r="M392" s="109"/>
      <c r="N392" s="109"/>
      <c r="O392" s="391"/>
      <c r="P392" s="138" t="s">
        <v>5</v>
      </c>
      <c r="Q392" s="139">
        <v>746630</v>
      </c>
      <c r="R392" s="392"/>
      <c r="S392" s="393">
        <f t="shared" si="80"/>
        <v>0</v>
      </c>
      <c r="T392" s="387" t="e">
        <f t="shared" si="81"/>
        <v>#DIV/0!</v>
      </c>
      <c r="U392" s="141">
        <f t="shared" si="82"/>
        <v>46056</v>
      </c>
      <c r="V392" s="142"/>
      <c r="W392" s="143"/>
      <c r="X392" s="568"/>
      <c r="Y392" s="569"/>
      <c r="Z392" s="570"/>
      <c r="AA392" s="571"/>
      <c r="AB392" s="185"/>
      <c r="AC392" s="185"/>
      <c r="AD392" s="185"/>
      <c r="AE392" s="185"/>
      <c r="AF392" s="185"/>
    </row>
    <row r="393" spans="1:32" s="115" customFormat="1" ht="16" customHeight="1">
      <c r="A393" s="106">
        <v>44949</v>
      </c>
      <c r="B393" s="109" t="s">
        <v>380</v>
      </c>
      <c r="C393" s="107" t="s">
        <v>59</v>
      </c>
      <c r="D393" s="137" t="s">
        <v>738</v>
      </c>
      <c r="E393" s="137"/>
      <c r="F393" s="109" t="s">
        <v>517</v>
      </c>
      <c r="G393" s="133">
        <v>1</v>
      </c>
      <c r="H393" s="133"/>
      <c r="I393" s="110"/>
      <c r="J393" s="133"/>
      <c r="K393" s="133"/>
      <c r="L393" s="133"/>
      <c r="M393" s="133"/>
      <c r="N393" s="133"/>
      <c r="O393" s="391"/>
      <c r="P393" s="109" t="s">
        <v>2</v>
      </c>
      <c r="Q393" s="139">
        <v>880350</v>
      </c>
      <c r="R393" s="392">
        <v>0.16</v>
      </c>
      <c r="S393" s="393">
        <f t="shared" si="80"/>
        <v>140856</v>
      </c>
      <c r="T393" s="387">
        <f t="shared" si="81"/>
        <v>880350</v>
      </c>
      <c r="U393" s="141">
        <f t="shared" si="82"/>
        <v>45009</v>
      </c>
      <c r="V393" s="142"/>
      <c r="W393" s="143"/>
      <c r="X393" s="476"/>
      <c r="Y393" s="135" t="str">
        <f>IF(OR(P393="Ordre",P393="Ferdig"),"x","")</f>
        <v/>
      </c>
      <c r="Z393" s="426" t="str">
        <f>IF(P393="Ferdig","x","")</f>
        <v/>
      </c>
      <c r="AA393" s="136" t="str">
        <f>IF(P393="Tapt","x","")</f>
        <v>x</v>
      </c>
      <c r="AB393" s="185"/>
      <c r="AC393" s="185"/>
      <c r="AD393" s="185"/>
      <c r="AE393" s="185"/>
      <c r="AF393" s="185"/>
    </row>
    <row r="394" spans="1:32" s="115" customFormat="1" ht="16" customHeight="1">
      <c r="A394" s="273">
        <v>45924</v>
      </c>
      <c r="B394" s="138" t="s">
        <v>754</v>
      </c>
      <c r="C394" s="137" t="s">
        <v>54</v>
      </c>
      <c r="D394" s="137" t="s">
        <v>739</v>
      </c>
      <c r="E394" s="492"/>
      <c r="F394" s="109"/>
      <c r="G394" s="133"/>
      <c r="H394" s="133"/>
      <c r="I394" s="109"/>
      <c r="J394" s="109"/>
      <c r="K394" s="133"/>
      <c r="L394" s="109"/>
      <c r="M394" s="109"/>
      <c r="N394" s="109"/>
      <c r="O394" s="391"/>
      <c r="P394" s="138" t="s">
        <v>5</v>
      </c>
      <c r="Q394" s="139">
        <v>1141500</v>
      </c>
      <c r="R394" s="392"/>
      <c r="S394" s="393">
        <f t="shared" si="80"/>
        <v>0</v>
      </c>
      <c r="T394" s="387" t="e">
        <f t="shared" si="81"/>
        <v>#DIV/0!</v>
      </c>
      <c r="U394" s="141">
        <f t="shared" si="82"/>
        <v>45984</v>
      </c>
      <c r="V394" s="142"/>
      <c r="W394" s="143"/>
      <c r="X394" s="568"/>
      <c r="Y394" s="569"/>
      <c r="Z394" s="570"/>
      <c r="AA394" s="571"/>
      <c r="AB394" s="185"/>
      <c r="AC394" s="185"/>
      <c r="AD394" s="185"/>
      <c r="AE394" s="185"/>
      <c r="AF394" s="185"/>
    </row>
    <row r="395" spans="1:32" s="115" customFormat="1" ht="16" customHeight="1">
      <c r="A395" s="273">
        <v>45961</v>
      </c>
      <c r="B395" s="138" t="s">
        <v>754</v>
      </c>
      <c r="C395" s="137" t="s">
        <v>54</v>
      </c>
      <c r="D395" s="137" t="s">
        <v>1483</v>
      </c>
      <c r="E395" s="492"/>
      <c r="F395" s="109" t="s">
        <v>1484</v>
      </c>
      <c r="G395" s="133">
        <v>3835</v>
      </c>
      <c r="H395" s="133">
        <f>1126-91</f>
        <v>1035</v>
      </c>
      <c r="I395" s="109"/>
      <c r="J395" s="109"/>
      <c r="K395" s="133"/>
      <c r="L395" s="109"/>
      <c r="M395" s="109"/>
      <c r="N395" s="109"/>
      <c r="O395" s="391"/>
      <c r="P395" s="138" t="s">
        <v>3</v>
      </c>
      <c r="Q395" s="139">
        <v>2818880</v>
      </c>
      <c r="R395" s="392">
        <v>0.08</v>
      </c>
      <c r="S395" s="393">
        <f t="shared" si="80"/>
        <v>225510.39999999999</v>
      </c>
      <c r="T395" s="387">
        <f t="shared" si="81"/>
        <v>735.0404172099087</v>
      </c>
      <c r="U395" s="141">
        <f t="shared" si="82"/>
        <v>46021</v>
      </c>
      <c r="V395" s="142"/>
      <c r="W395" s="143"/>
      <c r="X395" s="568"/>
      <c r="Y395" s="569"/>
      <c r="Z395" s="570"/>
      <c r="AA395" s="571"/>
      <c r="AB395" s="185"/>
      <c r="AC395" s="185"/>
      <c r="AD395" s="185"/>
      <c r="AE395" s="185"/>
      <c r="AF395" s="185"/>
    </row>
    <row r="396" spans="1:32" s="115" customFormat="1" ht="16" customHeight="1">
      <c r="A396" s="273">
        <v>45938</v>
      </c>
      <c r="B396" s="138" t="s">
        <v>754</v>
      </c>
      <c r="C396" s="137" t="s">
        <v>54</v>
      </c>
      <c r="D396" s="137" t="s">
        <v>740</v>
      </c>
      <c r="E396" s="492"/>
      <c r="F396" s="109"/>
      <c r="G396" s="133"/>
      <c r="H396" s="133"/>
      <c r="I396" s="109"/>
      <c r="J396" s="109"/>
      <c r="K396" s="133"/>
      <c r="L396" s="109"/>
      <c r="M396" s="109"/>
      <c r="N396" s="109"/>
      <c r="O396" s="391"/>
      <c r="P396" s="138" t="s">
        <v>5</v>
      </c>
      <c r="Q396" s="139">
        <v>1100500</v>
      </c>
      <c r="R396" s="392"/>
      <c r="S396" s="393">
        <f t="shared" si="80"/>
        <v>0</v>
      </c>
      <c r="T396" s="387" t="e">
        <f t="shared" si="81"/>
        <v>#DIV/0!</v>
      </c>
      <c r="U396" s="141">
        <f t="shared" si="82"/>
        <v>45998</v>
      </c>
      <c r="V396" s="142"/>
      <c r="W396" s="143"/>
      <c r="X396" s="568"/>
      <c r="Y396" s="569"/>
      <c r="Z396" s="570"/>
      <c r="AA396" s="571"/>
      <c r="AB396" s="185"/>
      <c r="AC396" s="185"/>
      <c r="AD396" s="185"/>
      <c r="AE396" s="185"/>
      <c r="AF396" s="185"/>
    </row>
    <row r="397" spans="1:32" s="115" customFormat="1" ht="16" customHeight="1">
      <c r="A397" s="273">
        <v>45954</v>
      </c>
      <c r="B397" s="138" t="s">
        <v>754</v>
      </c>
      <c r="C397" s="137" t="s">
        <v>54</v>
      </c>
      <c r="D397" s="137" t="s">
        <v>741</v>
      </c>
      <c r="E397" s="492"/>
      <c r="F397" s="109"/>
      <c r="G397" s="133"/>
      <c r="H397" s="133"/>
      <c r="I397" s="109"/>
      <c r="J397" s="109"/>
      <c r="K397" s="133" t="s">
        <v>3</v>
      </c>
      <c r="L397" s="109"/>
      <c r="M397" s="109"/>
      <c r="N397" s="109"/>
      <c r="O397" s="391"/>
      <c r="P397" s="138" t="s">
        <v>5</v>
      </c>
      <c r="Q397" s="139">
        <v>12895530</v>
      </c>
      <c r="R397" s="392"/>
      <c r="S397" s="393">
        <f t="shared" si="80"/>
        <v>0</v>
      </c>
      <c r="T397" s="387" t="e">
        <f t="shared" si="81"/>
        <v>#DIV/0!</v>
      </c>
      <c r="U397" s="141">
        <f t="shared" si="82"/>
        <v>46014</v>
      </c>
      <c r="V397" s="142"/>
      <c r="W397" s="143"/>
      <c r="X397" s="568"/>
      <c r="Y397" s="569"/>
      <c r="Z397" s="570"/>
      <c r="AA397" s="571"/>
      <c r="AB397" s="185"/>
      <c r="AC397" s="185"/>
      <c r="AD397" s="185"/>
      <c r="AE397" s="185"/>
      <c r="AF397" s="185"/>
    </row>
    <row r="398" spans="1:32" s="115" customFormat="1" ht="16" customHeight="1">
      <c r="A398" s="273">
        <v>45994</v>
      </c>
      <c r="B398" s="138" t="s">
        <v>38</v>
      </c>
      <c r="C398" s="137" t="s">
        <v>54</v>
      </c>
      <c r="D398" s="137" t="s">
        <v>742</v>
      </c>
      <c r="E398" s="492"/>
      <c r="F398" s="109"/>
      <c r="G398" s="133"/>
      <c r="H398" s="133"/>
      <c r="I398" s="109"/>
      <c r="J398" s="109"/>
      <c r="K398" s="133" t="s">
        <v>5</v>
      </c>
      <c r="L398" s="109"/>
      <c r="M398" s="109"/>
      <c r="N398" s="109"/>
      <c r="O398" s="391"/>
      <c r="P398" s="138" t="s">
        <v>5</v>
      </c>
      <c r="Q398" s="139">
        <v>6676710</v>
      </c>
      <c r="R398" s="392"/>
      <c r="S398" s="393">
        <f t="shared" si="80"/>
        <v>0</v>
      </c>
      <c r="T398" s="387" t="e">
        <f t="shared" si="81"/>
        <v>#DIV/0!</v>
      </c>
      <c r="U398" s="141">
        <f t="shared" si="82"/>
        <v>46054</v>
      </c>
      <c r="V398" s="142"/>
      <c r="W398" s="143"/>
      <c r="X398" s="568"/>
      <c r="Y398" s="569"/>
      <c r="Z398" s="570"/>
      <c r="AA398" s="571"/>
      <c r="AB398" s="185"/>
      <c r="AC398" s="185"/>
      <c r="AD398" s="185"/>
      <c r="AE398" s="185"/>
      <c r="AF398" s="185"/>
    </row>
    <row r="399" spans="1:32" s="115" customFormat="1" ht="16" customHeight="1">
      <c r="A399" s="273">
        <v>45945</v>
      </c>
      <c r="B399" s="138" t="s">
        <v>38</v>
      </c>
      <c r="C399" s="137" t="s">
        <v>54</v>
      </c>
      <c r="D399" s="137" t="s">
        <v>743</v>
      </c>
      <c r="E399" s="492"/>
      <c r="F399" s="109" t="s">
        <v>744</v>
      </c>
      <c r="G399" s="133">
        <v>540</v>
      </c>
      <c r="H399" s="133">
        <f>137-20</f>
        <v>117</v>
      </c>
      <c r="I399" s="109"/>
      <c r="J399" s="109"/>
      <c r="K399" s="133"/>
      <c r="L399" s="109"/>
      <c r="M399" s="109"/>
      <c r="N399" s="109"/>
      <c r="O399" s="391"/>
      <c r="P399" s="138" t="s">
        <v>3</v>
      </c>
      <c r="Q399" s="139">
        <v>408780</v>
      </c>
      <c r="R399" s="392">
        <v>0.15</v>
      </c>
      <c r="S399" s="393">
        <f t="shared" si="80"/>
        <v>61317</v>
      </c>
      <c r="T399" s="387">
        <f t="shared" si="81"/>
        <v>757</v>
      </c>
      <c r="U399" s="141">
        <f t="shared" si="82"/>
        <v>46005</v>
      </c>
      <c r="V399" s="142"/>
      <c r="W399" s="143"/>
      <c r="X399" s="568"/>
      <c r="Y399" s="569"/>
      <c r="Z399" s="570"/>
      <c r="AA399" s="571"/>
      <c r="AB399" s="185"/>
      <c r="AC399" s="185"/>
      <c r="AD399" s="185"/>
      <c r="AE399" s="185"/>
      <c r="AF399" s="185"/>
    </row>
    <row r="400" spans="1:32" s="115" customFormat="1" ht="16" customHeight="1">
      <c r="A400" s="273">
        <v>45950</v>
      </c>
      <c r="B400" s="138" t="s">
        <v>38</v>
      </c>
      <c r="C400" s="137" t="s">
        <v>455</v>
      </c>
      <c r="D400" s="137" t="s">
        <v>745</v>
      </c>
      <c r="E400" s="492"/>
      <c r="F400" s="109" t="s">
        <v>746</v>
      </c>
      <c r="G400" s="133">
        <v>751</v>
      </c>
      <c r="H400" s="133">
        <v>170</v>
      </c>
      <c r="I400" s="109"/>
      <c r="J400" s="109"/>
      <c r="K400" s="133"/>
      <c r="L400" s="109"/>
      <c r="M400" s="109"/>
      <c r="N400" s="109"/>
      <c r="O400" s="391"/>
      <c r="P400" s="138" t="s">
        <v>3</v>
      </c>
      <c r="Q400" s="139">
        <v>450600</v>
      </c>
      <c r="R400" s="392">
        <v>0.05</v>
      </c>
      <c r="S400" s="393">
        <f t="shared" si="80"/>
        <v>22530</v>
      </c>
      <c r="T400" s="387">
        <f t="shared" si="81"/>
        <v>600</v>
      </c>
      <c r="U400" s="141">
        <f t="shared" si="82"/>
        <v>46010</v>
      </c>
      <c r="V400" s="142"/>
      <c r="W400" s="143"/>
      <c r="X400" s="568"/>
      <c r="Y400" s="569"/>
      <c r="Z400" s="570"/>
      <c r="AA400" s="571"/>
      <c r="AB400" s="185"/>
      <c r="AC400" s="185"/>
      <c r="AD400" s="185"/>
      <c r="AE400" s="185"/>
      <c r="AF400" s="185"/>
    </row>
    <row r="401" spans="1:32" s="115" customFormat="1" ht="16" customHeight="1">
      <c r="A401" s="273">
        <v>45946</v>
      </c>
      <c r="B401" s="138" t="s">
        <v>38</v>
      </c>
      <c r="C401" s="137" t="s">
        <v>54</v>
      </c>
      <c r="D401" s="137" t="s">
        <v>747</v>
      </c>
      <c r="E401" s="492"/>
      <c r="F401" s="109"/>
      <c r="G401" s="133"/>
      <c r="H401" s="133"/>
      <c r="I401" s="109"/>
      <c r="J401" s="109"/>
      <c r="K401" s="133"/>
      <c r="L401" s="109"/>
      <c r="M401" s="109"/>
      <c r="N401" s="109"/>
      <c r="O401" s="391"/>
      <c r="P401" s="138" t="s">
        <v>5</v>
      </c>
      <c r="Q401" s="139">
        <v>9280660</v>
      </c>
      <c r="R401" s="392"/>
      <c r="S401" s="393">
        <f t="shared" si="80"/>
        <v>0</v>
      </c>
      <c r="T401" s="387" t="e">
        <f t="shared" si="81"/>
        <v>#DIV/0!</v>
      </c>
      <c r="U401" s="141">
        <f t="shared" si="82"/>
        <v>46006</v>
      </c>
      <c r="V401" s="142"/>
      <c r="W401" s="143"/>
      <c r="X401" s="568"/>
      <c r="Y401" s="569"/>
      <c r="Z401" s="570"/>
      <c r="AA401" s="571"/>
      <c r="AB401" s="185"/>
      <c r="AC401" s="185"/>
      <c r="AD401" s="185"/>
      <c r="AE401" s="185"/>
      <c r="AF401" s="185"/>
    </row>
    <row r="402" spans="1:32" s="115" customFormat="1" ht="16" customHeight="1">
      <c r="A402" s="273">
        <v>45959</v>
      </c>
      <c r="B402" s="138" t="s">
        <v>38</v>
      </c>
      <c r="C402" s="137" t="s">
        <v>54</v>
      </c>
      <c r="D402" s="137" t="s">
        <v>748</v>
      </c>
      <c r="E402" s="492"/>
      <c r="F402" s="109" t="s">
        <v>749</v>
      </c>
      <c r="G402" s="133">
        <v>2335</v>
      </c>
      <c r="H402" s="133">
        <v>469</v>
      </c>
      <c r="I402" s="109"/>
      <c r="J402" s="109"/>
      <c r="K402" s="133"/>
      <c r="L402" s="109"/>
      <c r="M402" s="109"/>
      <c r="N402" s="109"/>
      <c r="O402" s="391"/>
      <c r="P402" s="138" t="s">
        <v>3</v>
      </c>
      <c r="Q402" s="139">
        <v>1469830</v>
      </c>
      <c r="R402" s="392">
        <v>0.11700000000000001</v>
      </c>
      <c r="S402" s="393">
        <f t="shared" si="80"/>
        <v>171970.11000000002</v>
      </c>
      <c r="T402" s="387">
        <f t="shared" si="81"/>
        <v>629.47751605995722</v>
      </c>
      <c r="U402" s="141">
        <f t="shared" si="82"/>
        <v>46019</v>
      </c>
      <c r="V402" s="142"/>
      <c r="W402" s="143"/>
      <c r="X402" s="568"/>
      <c r="Y402" s="569"/>
      <c r="Z402" s="570"/>
      <c r="AA402" s="571"/>
      <c r="AB402" s="185"/>
      <c r="AC402" s="185"/>
      <c r="AD402" s="185"/>
      <c r="AE402" s="185"/>
      <c r="AF402" s="185"/>
    </row>
    <row r="403" spans="1:32" s="115" customFormat="1" ht="16" customHeight="1">
      <c r="A403" s="273">
        <v>45950</v>
      </c>
      <c r="B403" s="138" t="s">
        <v>38</v>
      </c>
      <c r="C403" s="137" t="s">
        <v>54</v>
      </c>
      <c r="D403" s="137" t="s">
        <v>750</v>
      </c>
      <c r="E403" s="492"/>
      <c r="F403" s="109"/>
      <c r="G403" s="133"/>
      <c r="H403" s="133"/>
      <c r="I403" s="109"/>
      <c r="J403" s="109"/>
      <c r="K403" s="133"/>
      <c r="L403" s="109"/>
      <c r="M403" s="109"/>
      <c r="N403" s="109"/>
      <c r="O403" s="391"/>
      <c r="P403" s="138" t="s">
        <v>5</v>
      </c>
      <c r="Q403" s="139">
        <v>269340</v>
      </c>
      <c r="R403" s="392"/>
      <c r="S403" s="393">
        <f t="shared" si="80"/>
        <v>0</v>
      </c>
      <c r="T403" s="387" t="e">
        <f t="shared" si="81"/>
        <v>#DIV/0!</v>
      </c>
      <c r="U403" s="141">
        <f t="shared" si="82"/>
        <v>46010</v>
      </c>
      <c r="V403" s="142"/>
      <c r="W403" s="143"/>
      <c r="X403" s="568"/>
      <c r="Y403" s="569"/>
      <c r="Z403" s="570"/>
      <c r="AA403" s="571"/>
      <c r="AB403" s="185"/>
      <c r="AC403" s="185"/>
      <c r="AD403" s="185"/>
      <c r="AE403" s="185"/>
      <c r="AF403" s="185"/>
    </row>
    <row r="404" spans="1:32" s="115" customFormat="1" ht="16" customHeight="1">
      <c r="A404" s="273">
        <v>45961</v>
      </c>
      <c r="B404" s="138" t="s">
        <v>38</v>
      </c>
      <c r="C404" s="137" t="s">
        <v>340</v>
      </c>
      <c r="D404" s="137" t="s">
        <v>751</v>
      </c>
      <c r="E404" s="492"/>
      <c r="F404" s="109"/>
      <c r="G404" s="133"/>
      <c r="H404" s="133"/>
      <c r="I404" s="109"/>
      <c r="J404" s="109"/>
      <c r="K404" s="133"/>
      <c r="L404" s="109"/>
      <c r="M404" s="109"/>
      <c r="N404" s="109"/>
      <c r="O404" s="391"/>
      <c r="P404" s="138" t="s">
        <v>5</v>
      </c>
      <c r="Q404" s="139">
        <v>419170</v>
      </c>
      <c r="R404" s="392"/>
      <c r="S404" s="393">
        <f t="shared" si="80"/>
        <v>0</v>
      </c>
      <c r="T404" s="387" t="e">
        <f t="shared" si="81"/>
        <v>#DIV/0!</v>
      </c>
      <c r="U404" s="141">
        <f t="shared" si="82"/>
        <v>46021</v>
      </c>
      <c r="V404" s="142"/>
      <c r="W404" s="143"/>
      <c r="X404" s="568"/>
      <c r="Y404" s="569"/>
      <c r="Z404" s="570"/>
      <c r="AA404" s="571"/>
      <c r="AB404" s="185"/>
      <c r="AC404" s="185"/>
      <c r="AD404" s="185"/>
      <c r="AE404" s="185"/>
      <c r="AF404" s="185"/>
    </row>
    <row r="405" spans="1:32" s="115" customFormat="1" ht="16" customHeight="1">
      <c r="A405" s="273">
        <v>45967</v>
      </c>
      <c r="B405" s="138" t="s">
        <v>754</v>
      </c>
      <c r="C405" s="137" t="s">
        <v>54</v>
      </c>
      <c r="D405" s="137" t="s">
        <v>752</v>
      </c>
      <c r="E405" s="492"/>
      <c r="F405" s="109" t="s">
        <v>490</v>
      </c>
      <c r="G405" s="133">
        <v>34725</v>
      </c>
      <c r="H405" s="133"/>
      <c r="I405" s="109"/>
      <c r="J405" s="109"/>
      <c r="K405" s="133"/>
      <c r="L405" s="109"/>
      <c r="M405" s="109"/>
      <c r="N405" s="109"/>
      <c r="O405" s="391"/>
      <c r="P405" s="138" t="s">
        <v>5</v>
      </c>
      <c r="Q405" s="139">
        <v>24251940</v>
      </c>
      <c r="R405" s="392">
        <v>0.14000000000000001</v>
      </c>
      <c r="S405" s="393">
        <f t="shared" si="80"/>
        <v>3395271.6</v>
      </c>
      <c r="T405" s="387">
        <f t="shared" si="81"/>
        <v>698.4</v>
      </c>
      <c r="U405" s="141">
        <f t="shared" si="82"/>
        <v>46027</v>
      </c>
      <c r="V405" s="142"/>
      <c r="W405" s="143"/>
      <c r="X405" s="568"/>
      <c r="Y405" s="569"/>
      <c r="Z405" s="570"/>
      <c r="AA405" s="571"/>
      <c r="AB405" s="185"/>
      <c r="AC405" s="185"/>
      <c r="AD405" s="185"/>
      <c r="AE405" s="185"/>
      <c r="AF405" s="185"/>
    </row>
    <row r="406" spans="1:32" s="115" customFormat="1" ht="16" customHeight="1">
      <c r="A406" s="273">
        <v>45966</v>
      </c>
      <c r="B406" s="138" t="s">
        <v>38</v>
      </c>
      <c r="C406" s="137" t="s">
        <v>54</v>
      </c>
      <c r="D406" s="137" t="s">
        <v>753</v>
      </c>
      <c r="E406" s="492"/>
      <c r="F406" s="109"/>
      <c r="G406" s="133"/>
      <c r="H406" s="133"/>
      <c r="I406" s="109"/>
      <c r="J406" s="109"/>
      <c r="K406" s="133"/>
      <c r="L406" s="109"/>
      <c r="M406" s="109"/>
      <c r="N406" s="109"/>
      <c r="O406" s="391"/>
      <c r="P406" s="138" t="s">
        <v>5</v>
      </c>
      <c r="Q406" s="139">
        <v>1528210</v>
      </c>
      <c r="R406" s="392"/>
      <c r="S406" s="393"/>
      <c r="T406" s="387" t="e">
        <f t="shared" si="81"/>
        <v>#DIV/0!</v>
      </c>
      <c r="U406" s="141">
        <f t="shared" si="82"/>
        <v>46026</v>
      </c>
      <c r="V406" s="142"/>
      <c r="W406" s="143"/>
      <c r="X406" s="568"/>
      <c r="Y406" s="569"/>
      <c r="Z406" s="570"/>
      <c r="AA406" s="571"/>
      <c r="AB406" s="185"/>
      <c r="AC406" s="185"/>
      <c r="AD406" s="185"/>
      <c r="AE406" s="185"/>
      <c r="AF406" s="185"/>
    </row>
    <row r="407" spans="1:32" s="115" customFormat="1" ht="16" customHeight="1">
      <c r="A407" s="273">
        <v>45975</v>
      </c>
      <c r="B407" s="138" t="s">
        <v>754</v>
      </c>
      <c r="C407" s="137" t="s">
        <v>693</v>
      </c>
      <c r="D407" s="137" t="s">
        <v>755</v>
      </c>
      <c r="E407" s="492"/>
      <c r="F407" s="109" t="s">
        <v>357</v>
      </c>
      <c r="G407" s="133">
        <v>13206</v>
      </c>
      <c r="H407" s="133">
        <v>2492.5</v>
      </c>
      <c r="I407" s="109"/>
      <c r="J407" s="109"/>
      <c r="K407" s="133"/>
      <c r="L407" s="109"/>
      <c r="M407" s="109"/>
      <c r="N407" s="109"/>
      <c r="O407" s="391"/>
      <c r="P407" s="138" t="s">
        <v>5</v>
      </c>
      <c r="Q407" s="139">
        <v>9182570</v>
      </c>
      <c r="R407" s="392">
        <v>0.14000000000000001</v>
      </c>
      <c r="S407" s="393">
        <f>+Q407*R407</f>
        <v>1285559.8</v>
      </c>
      <c r="T407" s="387">
        <f>+Q407/G407</f>
        <v>695.33318188702106</v>
      </c>
      <c r="U407" s="141">
        <f t="shared" si="82"/>
        <v>46035</v>
      </c>
      <c r="V407" s="142"/>
      <c r="W407" s="143"/>
      <c r="X407" s="568"/>
      <c r="Y407" s="569"/>
      <c r="Z407" s="570"/>
      <c r="AA407" s="571"/>
      <c r="AB407" s="185"/>
      <c r="AC407" s="185"/>
      <c r="AD407" s="185"/>
      <c r="AE407" s="185"/>
      <c r="AF407" s="185"/>
    </row>
    <row r="408" spans="1:32" s="115" customFormat="1" ht="16" customHeight="1">
      <c r="A408" s="273">
        <v>45971</v>
      </c>
      <c r="B408" s="138" t="s">
        <v>754</v>
      </c>
      <c r="C408" s="137" t="s">
        <v>54</v>
      </c>
      <c r="D408" s="137" t="s">
        <v>756</v>
      </c>
      <c r="E408" s="492"/>
      <c r="F408" s="510" t="s">
        <v>213</v>
      </c>
      <c r="G408" s="133">
        <v>2441</v>
      </c>
      <c r="H408" s="133">
        <v>602</v>
      </c>
      <c r="I408" s="109"/>
      <c r="J408" s="109"/>
      <c r="K408" s="133"/>
      <c r="L408" s="109"/>
      <c r="M408" s="109"/>
      <c r="N408" s="109"/>
      <c r="O408" s="391"/>
      <c r="P408" s="138" t="s">
        <v>5</v>
      </c>
      <c r="Q408" s="139">
        <v>1608000</v>
      </c>
      <c r="R408" s="392">
        <v>9.9400000000000002E-2</v>
      </c>
      <c r="S408" s="393">
        <f>Q408*R408</f>
        <v>159835.20000000001</v>
      </c>
      <c r="T408" s="387">
        <f>Q408/G408</f>
        <v>658.7464154035232</v>
      </c>
      <c r="U408" s="141">
        <f t="shared" si="82"/>
        <v>46031</v>
      </c>
      <c r="V408" s="142"/>
      <c r="W408" s="143"/>
      <c r="X408" s="568"/>
      <c r="Y408" s="569"/>
      <c r="Z408" s="570"/>
      <c r="AA408" s="571"/>
      <c r="AB408" s="185"/>
      <c r="AC408" s="185"/>
      <c r="AD408" s="185"/>
      <c r="AE408" s="185"/>
      <c r="AF408" s="185"/>
    </row>
    <row r="409" spans="1:32" s="115" customFormat="1" ht="16" customHeight="1">
      <c r="A409" s="273">
        <v>45971</v>
      </c>
      <c r="B409" s="138" t="s">
        <v>754</v>
      </c>
      <c r="C409" s="137" t="s">
        <v>54</v>
      </c>
      <c r="D409" s="137" t="s">
        <v>757</v>
      </c>
      <c r="E409" s="492"/>
      <c r="F409" s="109" t="s">
        <v>65</v>
      </c>
      <c r="G409" s="133">
        <v>800</v>
      </c>
      <c r="H409" s="133">
        <v>328</v>
      </c>
      <c r="I409" s="109"/>
      <c r="J409" s="109"/>
      <c r="K409" s="133"/>
      <c r="L409" s="109"/>
      <c r="M409" s="109"/>
      <c r="N409" s="109"/>
      <c r="O409" s="391"/>
      <c r="P409" s="138" t="s">
        <v>5</v>
      </c>
      <c r="Q409" s="139">
        <v>978000</v>
      </c>
      <c r="R409" s="392">
        <v>0.18</v>
      </c>
      <c r="S409" s="393">
        <f>Q409*R409</f>
        <v>176040</v>
      </c>
      <c r="T409" s="387">
        <f>Q409/G409</f>
        <v>1222.5</v>
      </c>
      <c r="U409" s="141">
        <f t="shared" si="82"/>
        <v>46031</v>
      </c>
      <c r="V409" s="142"/>
      <c r="W409" s="143"/>
      <c r="X409" s="568"/>
      <c r="Y409" s="569"/>
      <c r="Z409" s="570"/>
      <c r="AA409" s="571"/>
      <c r="AB409" s="185"/>
      <c r="AC409" s="185"/>
      <c r="AD409" s="185"/>
      <c r="AE409" s="185"/>
      <c r="AF409" s="185"/>
    </row>
    <row r="410" spans="1:32" s="115" customFormat="1" ht="16" customHeight="1">
      <c r="A410" s="273">
        <v>45973</v>
      </c>
      <c r="B410" s="138" t="s">
        <v>754</v>
      </c>
      <c r="C410" s="137" t="s">
        <v>758</v>
      </c>
      <c r="D410" s="137" t="s">
        <v>759</v>
      </c>
      <c r="E410" s="492"/>
      <c r="F410" s="109" t="s">
        <v>760</v>
      </c>
      <c r="G410" s="133">
        <v>804</v>
      </c>
      <c r="H410" s="133">
        <v>264</v>
      </c>
      <c r="I410" s="109"/>
      <c r="J410" s="109"/>
      <c r="K410" s="133"/>
      <c r="L410" s="109"/>
      <c r="M410" s="109"/>
      <c r="N410" s="109"/>
      <c r="O410" s="391"/>
      <c r="P410" s="138" t="s">
        <v>5</v>
      </c>
      <c r="Q410" s="139">
        <v>844000</v>
      </c>
      <c r="R410" s="392">
        <v>0.14000000000000001</v>
      </c>
      <c r="S410" s="393">
        <f>+Q410*R410</f>
        <v>118160.00000000001</v>
      </c>
      <c r="T410" s="387">
        <f>+Q410/G410</f>
        <v>1049.7512437810944</v>
      </c>
      <c r="U410" s="141">
        <f t="shared" si="82"/>
        <v>46033</v>
      </c>
      <c r="V410" s="142"/>
      <c r="W410" s="143"/>
      <c r="X410" s="568"/>
      <c r="Y410" s="569"/>
      <c r="Z410" s="570"/>
      <c r="AA410" s="571"/>
      <c r="AB410" s="185"/>
      <c r="AC410" s="185"/>
      <c r="AD410" s="185"/>
      <c r="AE410" s="185"/>
      <c r="AF410" s="185"/>
    </row>
    <row r="411" spans="1:32" s="115" customFormat="1" ht="16" customHeight="1">
      <c r="A411" s="273">
        <v>45975</v>
      </c>
      <c r="B411" s="138" t="s">
        <v>754</v>
      </c>
      <c r="C411" s="137" t="s">
        <v>761</v>
      </c>
      <c r="D411" s="137" t="s">
        <v>762</v>
      </c>
      <c r="E411" s="492"/>
      <c r="F411" s="109" t="s">
        <v>763</v>
      </c>
      <c r="G411" s="133">
        <v>1649</v>
      </c>
      <c r="H411" s="133">
        <v>428</v>
      </c>
      <c r="I411" s="109"/>
      <c r="J411" s="109"/>
      <c r="K411" s="133"/>
      <c r="L411" s="109"/>
      <c r="M411" s="109"/>
      <c r="N411" s="109"/>
      <c r="O411" s="391"/>
      <c r="P411" s="138" t="s">
        <v>5</v>
      </c>
      <c r="Q411" s="139">
        <v>1343460</v>
      </c>
      <c r="R411" s="392">
        <v>0.14000000000000001</v>
      </c>
      <c r="S411" s="393">
        <f>+Q411*R411</f>
        <v>188084.40000000002</v>
      </c>
      <c r="T411" s="387">
        <f>+Q411/G411</f>
        <v>814.71194663432379</v>
      </c>
      <c r="U411" s="141">
        <f t="shared" si="82"/>
        <v>46035</v>
      </c>
      <c r="V411" s="142"/>
      <c r="W411" s="143"/>
      <c r="X411" s="568"/>
      <c r="Y411" s="569"/>
      <c r="Z411" s="570"/>
      <c r="AA411" s="571"/>
      <c r="AB411" s="185"/>
      <c r="AC411" s="185"/>
      <c r="AD411" s="185"/>
      <c r="AE411" s="185"/>
      <c r="AF411" s="185"/>
    </row>
    <row r="412" spans="1:32" s="115" customFormat="1" ht="16" customHeight="1">
      <c r="A412" s="273">
        <v>45978</v>
      </c>
      <c r="B412" s="138" t="s">
        <v>38</v>
      </c>
      <c r="C412" s="137" t="s">
        <v>455</v>
      </c>
      <c r="D412" s="137" t="s">
        <v>764</v>
      </c>
      <c r="E412" s="492"/>
      <c r="F412" s="109"/>
      <c r="G412" s="133"/>
      <c r="H412" s="133"/>
      <c r="I412" s="109"/>
      <c r="J412" s="109"/>
      <c r="K412" s="133"/>
      <c r="L412" s="109"/>
      <c r="M412" s="109"/>
      <c r="N412" s="109"/>
      <c r="O412" s="391"/>
      <c r="P412" s="138" t="s">
        <v>5</v>
      </c>
      <c r="Q412" s="139">
        <v>936810</v>
      </c>
      <c r="R412" s="392">
        <v>0.1</v>
      </c>
      <c r="S412" s="393">
        <f t="shared" ref="S412:S414" si="86">+Q412*R412</f>
        <v>93681</v>
      </c>
      <c r="T412" s="387" t="e">
        <f t="shared" ref="T412:T414" si="87">+Q412/G412</f>
        <v>#DIV/0!</v>
      </c>
      <c r="U412" s="141">
        <f t="shared" si="82"/>
        <v>46038</v>
      </c>
      <c r="V412" s="142"/>
      <c r="W412" s="143"/>
      <c r="X412" s="568"/>
      <c r="Y412" s="569"/>
      <c r="Z412" s="570"/>
      <c r="AA412" s="571"/>
      <c r="AB412" s="185"/>
      <c r="AC412" s="185"/>
      <c r="AD412" s="185"/>
      <c r="AE412" s="185"/>
      <c r="AF412" s="185"/>
    </row>
    <row r="413" spans="1:32" s="115" customFormat="1" ht="16" customHeight="1">
      <c r="A413" s="273">
        <v>45979</v>
      </c>
      <c r="B413" s="138" t="s">
        <v>38</v>
      </c>
      <c r="C413" s="137" t="s">
        <v>54</v>
      </c>
      <c r="D413" s="137" t="s">
        <v>765</v>
      </c>
      <c r="E413" s="492"/>
      <c r="F413" s="109"/>
      <c r="G413" s="133"/>
      <c r="H413" s="133"/>
      <c r="I413" s="109"/>
      <c r="J413" s="109"/>
      <c r="K413" s="133"/>
      <c r="L413" s="109"/>
      <c r="M413" s="109"/>
      <c r="N413" s="109"/>
      <c r="O413" s="391"/>
      <c r="P413" s="138" t="s">
        <v>5</v>
      </c>
      <c r="Q413" s="139">
        <v>8949580</v>
      </c>
      <c r="R413" s="392"/>
      <c r="S413" s="393">
        <f t="shared" si="86"/>
        <v>0</v>
      </c>
      <c r="T413" s="387" t="e">
        <f t="shared" si="87"/>
        <v>#DIV/0!</v>
      </c>
      <c r="U413" s="141">
        <f t="shared" si="82"/>
        <v>46039</v>
      </c>
      <c r="V413" s="142"/>
      <c r="W413" s="143"/>
      <c r="X413" s="568"/>
      <c r="Y413" s="569"/>
      <c r="Z413" s="570"/>
      <c r="AA413" s="571"/>
      <c r="AB413" s="185"/>
      <c r="AC413" s="185"/>
      <c r="AD413" s="185"/>
      <c r="AE413" s="185"/>
      <c r="AF413" s="185"/>
    </row>
    <row r="414" spans="1:32" s="115" customFormat="1" ht="16" customHeight="1">
      <c r="A414" s="273">
        <v>45995</v>
      </c>
      <c r="B414" s="138" t="s">
        <v>754</v>
      </c>
      <c r="C414" s="137" t="s">
        <v>336</v>
      </c>
      <c r="D414" s="137" t="s">
        <v>766</v>
      </c>
      <c r="E414" s="492"/>
      <c r="F414" s="109"/>
      <c r="G414" s="133"/>
      <c r="H414" s="133"/>
      <c r="I414" s="109"/>
      <c r="J414" s="109"/>
      <c r="K414" s="133"/>
      <c r="L414" s="109"/>
      <c r="M414" s="109"/>
      <c r="N414" s="109"/>
      <c r="O414" s="391"/>
      <c r="P414" s="138" t="s">
        <v>5</v>
      </c>
      <c r="Q414" s="139">
        <v>1186900</v>
      </c>
      <c r="R414" s="392"/>
      <c r="S414" s="393">
        <f t="shared" si="86"/>
        <v>0</v>
      </c>
      <c r="T414" s="387" t="e">
        <f t="shared" si="87"/>
        <v>#DIV/0!</v>
      </c>
      <c r="U414" s="141">
        <f t="shared" si="82"/>
        <v>46055</v>
      </c>
      <c r="V414" s="142"/>
      <c r="W414" s="143"/>
      <c r="X414" s="568"/>
      <c r="Y414" s="569"/>
      <c r="Z414" s="570"/>
      <c r="AA414" s="571"/>
      <c r="AB414" s="185"/>
      <c r="AC414" s="185"/>
      <c r="AD414" s="185"/>
      <c r="AE414" s="185"/>
      <c r="AF414" s="185"/>
    </row>
    <row r="415" spans="1:32" s="115" customFormat="1" ht="16" customHeight="1">
      <c r="A415" s="273">
        <v>45986</v>
      </c>
      <c r="B415" s="138" t="s">
        <v>38</v>
      </c>
      <c r="C415" s="137" t="s">
        <v>54</v>
      </c>
      <c r="D415" s="137" t="s">
        <v>767</v>
      </c>
      <c r="E415" s="492"/>
      <c r="F415" s="109" t="s">
        <v>768</v>
      </c>
      <c r="G415" s="133">
        <v>2558</v>
      </c>
      <c r="H415" s="133">
        <f>596-40</f>
        <v>556</v>
      </c>
      <c r="I415" s="109"/>
      <c r="J415" s="109"/>
      <c r="K415" s="133"/>
      <c r="L415" s="109"/>
      <c r="M415" s="109"/>
      <c r="N415" s="109"/>
      <c r="O415" s="391"/>
      <c r="P415" s="138" t="s">
        <v>5</v>
      </c>
      <c r="Q415" s="139">
        <v>1799940</v>
      </c>
      <c r="R415" s="392">
        <v>0.14000000000000001</v>
      </c>
      <c r="S415" s="393">
        <f>Q415*R415</f>
        <v>251991.60000000003</v>
      </c>
      <c r="T415" s="387">
        <f>Q415/G415</f>
        <v>703.65129007036751</v>
      </c>
      <c r="U415" s="141">
        <f t="shared" si="82"/>
        <v>46046</v>
      </c>
      <c r="V415" s="142"/>
      <c r="W415" s="143"/>
      <c r="X415" s="568"/>
      <c r="Y415" s="569"/>
      <c r="Z415" s="570"/>
      <c r="AA415" s="571"/>
      <c r="AB415" s="185"/>
      <c r="AC415" s="185"/>
      <c r="AD415" s="185"/>
      <c r="AE415" s="185"/>
      <c r="AF415" s="185"/>
    </row>
    <row r="416" spans="1:32" s="115" customFormat="1" ht="16" customHeight="1">
      <c r="A416" s="273">
        <v>45985</v>
      </c>
      <c r="B416" s="138" t="s">
        <v>38</v>
      </c>
      <c r="C416" s="137" t="s">
        <v>54</v>
      </c>
      <c r="D416" s="137" t="s">
        <v>769</v>
      </c>
      <c r="E416" s="492"/>
      <c r="F416" s="109" t="s">
        <v>770</v>
      </c>
      <c r="G416" s="133">
        <v>653</v>
      </c>
      <c r="H416" s="133">
        <v>150</v>
      </c>
      <c r="I416" s="109"/>
      <c r="J416" s="109"/>
      <c r="K416" s="133"/>
      <c r="L416" s="109"/>
      <c r="M416" s="109"/>
      <c r="N416" s="109"/>
      <c r="O416" s="391"/>
      <c r="P416" s="138" t="s">
        <v>5</v>
      </c>
      <c r="Q416" s="139">
        <v>415710</v>
      </c>
      <c r="R416" s="392">
        <v>0.14000000000000001</v>
      </c>
      <c r="S416" s="393">
        <f>Q416*R416</f>
        <v>58199.400000000009</v>
      </c>
      <c r="T416" s="387">
        <f>Q416/G416</f>
        <v>636.61562021439511</v>
      </c>
      <c r="U416" s="141">
        <f t="shared" si="82"/>
        <v>46045</v>
      </c>
      <c r="V416" s="142"/>
      <c r="W416" s="143"/>
      <c r="X416" s="568"/>
      <c r="Y416" s="569"/>
      <c r="Z416" s="570"/>
      <c r="AA416" s="571"/>
      <c r="AB416" s="185"/>
      <c r="AC416" s="185"/>
      <c r="AD416" s="185"/>
      <c r="AE416" s="185"/>
      <c r="AF416" s="185"/>
    </row>
    <row r="417" spans="1:32" s="115" customFormat="1" ht="16" customHeight="1">
      <c r="A417" s="273">
        <v>45986</v>
      </c>
      <c r="B417" s="138" t="s">
        <v>38</v>
      </c>
      <c r="C417" s="137" t="s">
        <v>54</v>
      </c>
      <c r="D417" s="137" t="s">
        <v>771</v>
      </c>
      <c r="E417" s="492"/>
      <c r="F417" s="109" t="s">
        <v>291</v>
      </c>
      <c r="G417" s="133">
        <v>25204</v>
      </c>
      <c r="H417" s="133">
        <f>4655-80</f>
        <v>4575</v>
      </c>
      <c r="I417" s="109"/>
      <c r="J417" s="109"/>
      <c r="K417" s="133"/>
      <c r="L417" s="109"/>
      <c r="M417" s="109"/>
      <c r="N417" s="109"/>
      <c r="O417" s="391"/>
      <c r="P417" s="138" t="s">
        <v>5</v>
      </c>
      <c r="Q417" s="139">
        <v>15119350</v>
      </c>
      <c r="R417" s="392">
        <v>0.1</v>
      </c>
      <c r="S417" s="393">
        <f>Q417*R417</f>
        <v>1511935</v>
      </c>
      <c r="T417" s="387">
        <f>Q417/G417</f>
        <v>599.87898746230758</v>
      </c>
      <c r="U417" s="141">
        <f t="shared" si="82"/>
        <v>46046</v>
      </c>
      <c r="V417" s="142"/>
      <c r="W417" s="143"/>
      <c r="X417" s="568"/>
      <c r="Y417" s="569"/>
      <c r="Z417" s="570"/>
      <c r="AA417" s="571"/>
      <c r="AB417" s="185"/>
      <c r="AC417" s="185"/>
      <c r="AD417" s="185"/>
      <c r="AE417" s="185"/>
      <c r="AF417" s="185"/>
    </row>
    <row r="418" spans="1:32" s="115" customFormat="1" ht="16" customHeight="1">
      <c r="A418" s="273">
        <v>45986</v>
      </c>
      <c r="B418" s="138" t="s">
        <v>38</v>
      </c>
      <c r="C418" s="137" t="s">
        <v>455</v>
      </c>
      <c r="D418" s="137" t="s">
        <v>772</v>
      </c>
      <c r="E418" s="492"/>
      <c r="F418" s="109" t="s">
        <v>768</v>
      </c>
      <c r="G418" s="133">
        <v>645</v>
      </c>
      <c r="H418" s="133">
        <f>238-28</f>
        <v>210</v>
      </c>
      <c r="I418" s="109"/>
      <c r="J418" s="109"/>
      <c r="K418" s="133"/>
      <c r="L418" s="109"/>
      <c r="M418" s="109"/>
      <c r="N418" s="109"/>
      <c r="O418" s="391"/>
      <c r="P418" s="138" t="s">
        <v>5</v>
      </c>
      <c r="Q418" s="139">
        <v>645500</v>
      </c>
      <c r="R418" s="392">
        <v>0.16</v>
      </c>
      <c r="S418" s="393">
        <f>Q418*R418</f>
        <v>103280</v>
      </c>
      <c r="T418" s="387">
        <f>Q418/G418</f>
        <v>1000.7751937984497</v>
      </c>
      <c r="U418" s="141">
        <f t="shared" si="82"/>
        <v>46046</v>
      </c>
      <c r="V418" s="142"/>
      <c r="W418" s="143"/>
      <c r="X418" s="568"/>
      <c r="Y418" s="569"/>
      <c r="Z418" s="570"/>
      <c r="AA418" s="571"/>
      <c r="AB418" s="185"/>
      <c r="AC418" s="185"/>
      <c r="AD418" s="185"/>
      <c r="AE418" s="185"/>
      <c r="AF418" s="185"/>
    </row>
    <row r="419" spans="1:32" s="115" customFormat="1" ht="16" customHeight="1">
      <c r="A419" s="273"/>
      <c r="B419" s="138" t="s">
        <v>38</v>
      </c>
      <c r="C419" s="137" t="s">
        <v>54</v>
      </c>
      <c r="D419" s="137" t="s">
        <v>1467</v>
      </c>
      <c r="E419" s="492">
        <v>46009</v>
      </c>
      <c r="F419" s="109" t="s">
        <v>301</v>
      </c>
      <c r="G419" s="133"/>
      <c r="H419" s="133"/>
      <c r="I419" s="109"/>
      <c r="J419" s="109"/>
      <c r="K419" s="133"/>
      <c r="L419" s="109"/>
      <c r="M419" s="109"/>
      <c r="N419" s="109"/>
      <c r="O419" s="391"/>
      <c r="P419" s="138" t="s">
        <v>5</v>
      </c>
      <c r="Q419" s="139"/>
      <c r="R419" s="392"/>
      <c r="S419" s="393"/>
      <c r="T419" s="387"/>
      <c r="U419" s="141" t="str">
        <f t="shared" si="82"/>
        <v/>
      </c>
      <c r="V419" s="142"/>
      <c r="W419" s="143"/>
      <c r="X419" s="568"/>
      <c r="Y419" s="569"/>
      <c r="Z419" s="570"/>
      <c r="AA419" s="571"/>
      <c r="AB419" s="185"/>
      <c r="AC419" s="185"/>
      <c r="AD419" s="185"/>
      <c r="AE419" s="185"/>
      <c r="AF419" s="185"/>
    </row>
    <row r="420" spans="1:32" s="115" customFormat="1" ht="16" customHeight="1">
      <c r="A420" s="273">
        <v>45897</v>
      </c>
      <c r="B420" s="138" t="s">
        <v>380</v>
      </c>
      <c r="C420" s="137" t="s">
        <v>799</v>
      </c>
      <c r="D420" s="137" t="s">
        <v>1477</v>
      </c>
      <c r="E420" s="492"/>
      <c r="F420" s="109" t="s">
        <v>800</v>
      </c>
      <c r="G420" s="133">
        <v>130</v>
      </c>
      <c r="H420" s="133">
        <v>46.5</v>
      </c>
      <c r="I420" s="109"/>
      <c r="J420" s="109"/>
      <c r="K420" s="133">
        <f>SUMIFS(G363:G417,J363:J417,"X")</f>
        <v>0</v>
      </c>
      <c r="L420" s="109"/>
      <c r="M420" s="109"/>
      <c r="N420" s="109"/>
      <c r="O420" s="391"/>
      <c r="P420" s="138" t="s">
        <v>3</v>
      </c>
      <c r="Q420" s="139">
        <v>115800</v>
      </c>
      <c r="R420" s="392">
        <v>0.18</v>
      </c>
      <c r="S420" s="393">
        <f t="shared" ref="S420:S435" si="88">Q420*R420</f>
        <v>20844</v>
      </c>
      <c r="T420" s="387">
        <f t="shared" ref="T420:T435" si="89">Q420/G420</f>
        <v>890.76923076923072</v>
      </c>
      <c r="U420" s="141">
        <f t="shared" si="82"/>
        <v>45957</v>
      </c>
      <c r="V420" s="142"/>
      <c r="W420" s="143"/>
      <c r="X420" s="568"/>
      <c r="Y420" s="569"/>
      <c r="Z420" s="570"/>
      <c r="AA420" s="571"/>
      <c r="AB420" s="185"/>
      <c r="AC420" s="185"/>
      <c r="AD420" s="185"/>
      <c r="AE420" s="185"/>
      <c r="AF420" s="185"/>
    </row>
    <row r="421" spans="1:32" s="115" customFormat="1" ht="16" customHeight="1">
      <c r="A421" s="273">
        <v>45788</v>
      </c>
      <c r="B421" s="138" t="s">
        <v>380</v>
      </c>
      <c r="C421" s="137" t="s">
        <v>773</v>
      </c>
      <c r="D421" s="137" t="s">
        <v>774</v>
      </c>
      <c r="E421" s="492"/>
      <c r="F421" s="109" t="s">
        <v>65</v>
      </c>
      <c r="G421" s="133">
        <v>740</v>
      </c>
      <c r="H421" s="133">
        <v>268</v>
      </c>
      <c r="I421" s="109"/>
      <c r="J421" s="109"/>
      <c r="K421" s="133"/>
      <c r="L421" s="109"/>
      <c r="M421" s="109"/>
      <c r="N421" s="109"/>
      <c r="O421" s="391"/>
      <c r="P421" s="138" t="s">
        <v>5</v>
      </c>
      <c r="Q421" s="139">
        <v>506800</v>
      </c>
      <c r="R421" s="392">
        <v>0.2</v>
      </c>
      <c r="S421" s="393">
        <f t="shared" si="88"/>
        <v>101360</v>
      </c>
      <c r="T421" s="387">
        <f t="shared" si="89"/>
        <v>684.8648648648649</v>
      </c>
      <c r="U421" s="141">
        <f t="shared" si="82"/>
        <v>45848</v>
      </c>
      <c r="V421" s="142"/>
      <c r="W421" s="143"/>
      <c r="X421" s="476"/>
      <c r="Y421" s="135" t="str">
        <f t="shared" ref="Y421:Y429" si="90">IF(OR(P421="Ordre",P421="Ferdig"),"x","")</f>
        <v/>
      </c>
      <c r="Z421" s="426" t="str">
        <f t="shared" ref="Z421:Z429" si="91">IF(P421="Ferdig","x","")</f>
        <v/>
      </c>
      <c r="AA421" s="136" t="str">
        <f t="shared" ref="AA421:AA429" si="92">IF(P421="Tapt","x","")</f>
        <v/>
      </c>
      <c r="AB421" s="185"/>
      <c r="AC421" s="185"/>
      <c r="AD421" s="185"/>
      <c r="AE421" s="185"/>
      <c r="AF421" s="185"/>
    </row>
    <row r="422" spans="1:32" s="115" customFormat="1" ht="16" customHeight="1">
      <c r="A422" s="273">
        <v>45846</v>
      </c>
      <c r="B422" s="138" t="s">
        <v>380</v>
      </c>
      <c r="C422" s="137" t="s">
        <v>801</v>
      </c>
      <c r="D422" s="137" t="s">
        <v>1476</v>
      </c>
      <c r="E422" s="492"/>
      <c r="F422" s="109" t="s">
        <v>802</v>
      </c>
      <c r="G422" s="133">
        <v>297</v>
      </c>
      <c r="H422" s="133">
        <v>80</v>
      </c>
      <c r="I422" s="109"/>
      <c r="J422" s="109"/>
      <c r="K422" s="133"/>
      <c r="L422" s="109"/>
      <c r="M422" s="109"/>
      <c r="N422" s="109"/>
      <c r="O422" s="391"/>
      <c r="P422" s="138" t="s">
        <v>3</v>
      </c>
      <c r="Q422" s="139">
        <v>243800</v>
      </c>
      <c r="R422" s="392">
        <v>0.2</v>
      </c>
      <c r="S422" s="393">
        <f t="shared" si="88"/>
        <v>48760</v>
      </c>
      <c r="T422" s="387">
        <f t="shared" si="89"/>
        <v>820.8754208754209</v>
      </c>
      <c r="U422" s="141">
        <f t="shared" si="82"/>
        <v>45906</v>
      </c>
      <c r="V422" s="142"/>
      <c r="W422" s="143"/>
      <c r="X422" s="476"/>
      <c r="Y422" s="135" t="str">
        <f t="shared" si="90"/>
        <v>x</v>
      </c>
      <c r="Z422" s="426" t="str">
        <f t="shared" si="91"/>
        <v/>
      </c>
      <c r="AA422" s="136" t="str">
        <f t="shared" si="92"/>
        <v/>
      </c>
      <c r="AB422" s="185"/>
      <c r="AC422" s="185"/>
      <c r="AD422" s="185"/>
      <c r="AE422" s="185"/>
      <c r="AF422" s="185"/>
    </row>
    <row r="423" spans="1:32" s="115" customFormat="1" ht="16" customHeight="1">
      <c r="A423" s="273">
        <v>45841</v>
      </c>
      <c r="B423" s="138" t="s">
        <v>380</v>
      </c>
      <c r="C423" s="137" t="s">
        <v>788</v>
      </c>
      <c r="D423" s="137" t="s">
        <v>1479</v>
      </c>
      <c r="E423" s="492"/>
      <c r="F423" s="109" t="s">
        <v>41</v>
      </c>
      <c r="G423" s="133">
        <v>160</v>
      </c>
      <c r="H423" s="133">
        <v>47.7</v>
      </c>
      <c r="I423" s="109"/>
      <c r="J423" s="109"/>
      <c r="K423" s="133"/>
      <c r="L423" s="109"/>
      <c r="M423" s="109"/>
      <c r="N423" s="109"/>
      <c r="O423" s="391"/>
      <c r="P423" s="138" t="s">
        <v>3</v>
      </c>
      <c r="Q423" s="139">
        <v>98800</v>
      </c>
      <c r="R423" s="392">
        <v>0.18</v>
      </c>
      <c r="S423" s="393">
        <f t="shared" si="88"/>
        <v>17784</v>
      </c>
      <c r="T423" s="387">
        <f t="shared" si="89"/>
        <v>617.5</v>
      </c>
      <c r="U423" s="141">
        <f t="shared" si="82"/>
        <v>45901</v>
      </c>
      <c r="V423" s="142"/>
      <c r="W423" s="143"/>
      <c r="X423" s="476"/>
      <c r="Y423" s="135" t="str">
        <f t="shared" si="90"/>
        <v>x</v>
      </c>
      <c r="Z423" s="426" t="str">
        <f t="shared" si="91"/>
        <v/>
      </c>
      <c r="AA423" s="136" t="str">
        <f t="shared" si="92"/>
        <v/>
      </c>
      <c r="AB423" s="185"/>
      <c r="AC423" s="185"/>
      <c r="AD423" s="185"/>
      <c r="AE423" s="185"/>
      <c r="AF423" s="185"/>
    </row>
    <row r="424" spans="1:32" s="115" customFormat="1" ht="16" customHeight="1">
      <c r="A424" s="273">
        <v>45841</v>
      </c>
      <c r="B424" s="138" t="s">
        <v>380</v>
      </c>
      <c r="C424" s="137" t="s">
        <v>788</v>
      </c>
      <c r="D424" s="137" t="s">
        <v>1480</v>
      </c>
      <c r="E424" s="492"/>
      <c r="F424" s="109" t="s">
        <v>41</v>
      </c>
      <c r="G424" s="133">
        <v>145</v>
      </c>
      <c r="H424" s="133">
        <v>64.400000000000006</v>
      </c>
      <c r="I424" s="109"/>
      <c r="J424" s="109"/>
      <c r="K424" s="133"/>
      <c r="L424" s="109"/>
      <c r="M424" s="109"/>
      <c r="N424" s="109"/>
      <c r="O424" s="391"/>
      <c r="P424" s="138" t="s">
        <v>3</v>
      </c>
      <c r="Q424" s="139">
        <v>96800</v>
      </c>
      <c r="R424" s="392">
        <v>0.18</v>
      </c>
      <c r="S424" s="393">
        <f t="shared" si="88"/>
        <v>17424</v>
      </c>
      <c r="T424" s="387">
        <f t="shared" si="89"/>
        <v>667.58620689655174</v>
      </c>
      <c r="U424" s="141">
        <f t="shared" si="82"/>
        <v>45901</v>
      </c>
      <c r="V424" s="142"/>
      <c r="W424" s="143"/>
      <c r="X424" s="476"/>
      <c r="Y424" s="135" t="str">
        <f t="shared" si="90"/>
        <v>x</v>
      </c>
      <c r="Z424" s="426" t="str">
        <f t="shared" si="91"/>
        <v/>
      </c>
      <c r="AA424" s="136" t="str">
        <f t="shared" si="92"/>
        <v/>
      </c>
      <c r="AB424" s="185"/>
      <c r="AC424" s="185"/>
      <c r="AD424" s="185"/>
      <c r="AE424" s="185"/>
      <c r="AF424" s="185"/>
    </row>
    <row r="425" spans="1:32" s="115" customFormat="1" ht="16" customHeight="1">
      <c r="A425" s="273">
        <v>45792</v>
      </c>
      <c r="B425" s="138" t="s">
        <v>380</v>
      </c>
      <c r="C425" s="137" t="s">
        <v>775</v>
      </c>
      <c r="D425" s="137" t="s">
        <v>776</v>
      </c>
      <c r="E425" s="492"/>
      <c r="F425" s="109" t="s">
        <v>65</v>
      </c>
      <c r="G425" s="133">
        <v>252</v>
      </c>
      <c r="H425" s="133">
        <v>112</v>
      </c>
      <c r="I425" s="109"/>
      <c r="J425" s="109"/>
      <c r="K425" s="133"/>
      <c r="L425" s="109"/>
      <c r="M425" s="109"/>
      <c r="N425" s="109"/>
      <c r="O425" s="391"/>
      <c r="P425" s="138" t="s">
        <v>7</v>
      </c>
      <c r="Q425" s="139">
        <v>241800</v>
      </c>
      <c r="R425" s="392"/>
      <c r="S425" s="393">
        <f t="shared" si="88"/>
        <v>0</v>
      </c>
      <c r="T425" s="387">
        <f t="shared" si="89"/>
        <v>959.52380952380952</v>
      </c>
      <c r="U425" s="141">
        <f t="shared" si="82"/>
        <v>45852</v>
      </c>
      <c r="V425" s="142"/>
      <c r="W425" s="143"/>
      <c r="X425" s="476"/>
      <c r="Y425" s="135" t="str">
        <f t="shared" si="90"/>
        <v>x</v>
      </c>
      <c r="Z425" s="426" t="str">
        <f t="shared" si="91"/>
        <v>x</v>
      </c>
      <c r="AA425" s="136" t="str">
        <f t="shared" si="92"/>
        <v/>
      </c>
      <c r="AB425" s="185"/>
      <c r="AC425" s="185"/>
      <c r="AD425" s="185"/>
      <c r="AE425" s="185"/>
      <c r="AF425" s="185"/>
    </row>
    <row r="426" spans="1:32" s="115" customFormat="1" ht="16" customHeight="1">
      <c r="A426" s="273">
        <v>45805</v>
      </c>
      <c r="B426" s="138" t="s">
        <v>380</v>
      </c>
      <c r="C426" s="137" t="s">
        <v>777</v>
      </c>
      <c r="D426" s="137" t="s">
        <v>778</v>
      </c>
      <c r="E426" s="492"/>
      <c r="F426" s="109" t="s">
        <v>89</v>
      </c>
      <c r="G426" s="133">
        <v>1750</v>
      </c>
      <c r="H426" s="133">
        <v>254</v>
      </c>
      <c r="I426" s="109"/>
      <c r="J426" s="109"/>
      <c r="K426" s="133"/>
      <c r="L426" s="109"/>
      <c r="M426" s="109"/>
      <c r="N426" s="109"/>
      <c r="O426" s="391"/>
      <c r="P426" s="138" t="s">
        <v>5</v>
      </c>
      <c r="Q426" s="139">
        <v>875800</v>
      </c>
      <c r="R426" s="392">
        <v>0.26</v>
      </c>
      <c r="S426" s="393">
        <f t="shared" si="88"/>
        <v>227708</v>
      </c>
      <c r="T426" s="387">
        <f t="shared" si="89"/>
        <v>500.45714285714286</v>
      </c>
      <c r="U426" s="141">
        <v>45844</v>
      </c>
      <c r="V426" s="142"/>
      <c r="W426" s="143"/>
      <c r="X426" s="476"/>
      <c r="Y426" s="135" t="str">
        <f t="shared" si="90"/>
        <v/>
      </c>
      <c r="Z426" s="426" t="str">
        <f t="shared" si="91"/>
        <v/>
      </c>
      <c r="AA426" s="136" t="str">
        <f t="shared" si="92"/>
        <v/>
      </c>
      <c r="AB426" s="185"/>
      <c r="AC426" s="185"/>
      <c r="AD426" s="185"/>
      <c r="AE426" s="185"/>
      <c r="AF426" s="185"/>
    </row>
    <row r="427" spans="1:32" s="115" customFormat="1" ht="16" customHeight="1">
      <c r="A427" s="273">
        <v>45804</v>
      </c>
      <c r="B427" s="138" t="s">
        <v>380</v>
      </c>
      <c r="C427" s="137" t="s">
        <v>797</v>
      </c>
      <c r="D427" s="137" t="s">
        <v>1482</v>
      </c>
      <c r="E427" s="492"/>
      <c r="F427" s="109" t="s">
        <v>798</v>
      </c>
      <c r="G427" s="133">
        <v>227</v>
      </c>
      <c r="H427" s="133"/>
      <c r="I427" s="109"/>
      <c r="J427" s="109"/>
      <c r="K427" s="133"/>
      <c r="L427" s="109"/>
      <c r="M427" s="109"/>
      <c r="N427" s="109"/>
      <c r="O427" s="391"/>
      <c r="P427" s="138" t="s">
        <v>5</v>
      </c>
      <c r="Q427" s="139">
        <v>375800</v>
      </c>
      <c r="R427" s="392">
        <v>0.18</v>
      </c>
      <c r="S427" s="393">
        <f t="shared" si="88"/>
        <v>67644</v>
      </c>
      <c r="T427" s="387">
        <f t="shared" si="89"/>
        <v>1655.5066079295154</v>
      </c>
      <c r="U427" s="141">
        <f>IF(A427="","",(A427+60))</f>
        <v>45864</v>
      </c>
      <c r="V427" s="142"/>
      <c r="W427" s="143"/>
      <c r="X427" s="476"/>
      <c r="Y427" s="135" t="str">
        <f t="shared" si="90"/>
        <v/>
      </c>
      <c r="Z427" s="426" t="str">
        <f t="shared" si="91"/>
        <v/>
      </c>
      <c r="AA427" s="136" t="str">
        <f t="shared" si="92"/>
        <v/>
      </c>
      <c r="AB427" s="185"/>
      <c r="AC427" s="185"/>
      <c r="AD427" s="185"/>
      <c r="AE427" s="185"/>
      <c r="AF427" s="185"/>
    </row>
    <row r="428" spans="1:32" s="115" customFormat="1" ht="16" customHeight="1">
      <c r="A428" s="273">
        <v>45826</v>
      </c>
      <c r="B428" s="138" t="s">
        <v>380</v>
      </c>
      <c r="C428" s="137" t="s">
        <v>779</v>
      </c>
      <c r="D428" s="137" t="s">
        <v>780</v>
      </c>
      <c r="E428" s="492"/>
      <c r="F428" s="129" t="s">
        <v>781</v>
      </c>
      <c r="G428" s="133">
        <v>679</v>
      </c>
      <c r="H428" s="133">
        <v>168</v>
      </c>
      <c r="I428" s="109"/>
      <c r="J428" s="109"/>
      <c r="K428" s="133"/>
      <c r="L428" s="109"/>
      <c r="M428" s="109"/>
      <c r="N428" s="109"/>
      <c r="O428" s="391"/>
      <c r="P428" s="138" t="s">
        <v>5</v>
      </c>
      <c r="Q428" s="139">
        <v>406800</v>
      </c>
      <c r="R428" s="392">
        <v>0.18</v>
      </c>
      <c r="S428" s="393">
        <f t="shared" si="88"/>
        <v>73224</v>
      </c>
      <c r="T428" s="387">
        <f t="shared" si="89"/>
        <v>599.11634756995579</v>
      </c>
      <c r="U428" s="141">
        <f>IF(A428="","",(A428+60))</f>
        <v>45886</v>
      </c>
      <c r="V428" s="142"/>
      <c r="W428" s="143"/>
      <c r="X428" s="476"/>
      <c r="Y428" s="135" t="str">
        <f t="shared" si="90"/>
        <v/>
      </c>
      <c r="Z428" s="426" t="str">
        <f t="shared" si="91"/>
        <v/>
      </c>
      <c r="AA428" s="136" t="str">
        <f t="shared" si="92"/>
        <v/>
      </c>
      <c r="AB428" s="185"/>
      <c r="AC428" s="185"/>
      <c r="AD428" s="185"/>
      <c r="AE428" s="185"/>
      <c r="AF428" s="185"/>
    </row>
    <row r="429" spans="1:32" s="115" customFormat="1" ht="16" customHeight="1">
      <c r="A429" s="273">
        <v>45866</v>
      </c>
      <c r="B429" s="138" t="s">
        <v>380</v>
      </c>
      <c r="C429" s="137" t="s">
        <v>807</v>
      </c>
      <c r="D429" s="137" t="s">
        <v>1473</v>
      </c>
      <c r="E429" s="492"/>
      <c r="F429" s="109" t="s">
        <v>808</v>
      </c>
      <c r="G429" s="133">
        <v>2942</v>
      </c>
      <c r="H429" s="133">
        <v>897</v>
      </c>
      <c r="I429" s="109"/>
      <c r="J429" s="109"/>
      <c r="K429" s="133"/>
      <c r="L429" s="109"/>
      <c r="M429" s="109"/>
      <c r="N429" s="109"/>
      <c r="O429" s="391"/>
      <c r="P429" s="138" t="s">
        <v>5</v>
      </c>
      <c r="Q429" s="139">
        <v>3219992</v>
      </c>
      <c r="R429" s="392">
        <v>0.18</v>
      </c>
      <c r="S429" s="393">
        <f t="shared" si="88"/>
        <v>579598.55999999994</v>
      </c>
      <c r="T429" s="387">
        <f t="shared" si="89"/>
        <v>1094.4908225696804</v>
      </c>
      <c r="U429" s="141">
        <f>IF(A429="","",(A429+60))</f>
        <v>45926</v>
      </c>
      <c r="V429" s="142"/>
      <c r="W429" s="143"/>
      <c r="X429" s="476"/>
      <c r="Y429" s="135" t="str">
        <f t="shared" si="90"/>
        <v/>
      </c>
      <c r="Z429" s="426" t="str">
        <f t="shared" si="91"/>
        <v/>
      </c>
      <c r="AA429" s="136" t="str">
        <f t="shared" si="92"/>
        <v/>
      </c>
      <c r="AB429" s="185"/>
      <c r="AC429" s="185"/>
      <c r="AD429" s="185"/>
      <c r="AE429" s="185"/>
      <c r="AF429" s="185"/>
    </row>
    <row r="430" spans="1:32" s="115" customFormat="1" ht="16" customHeight="1">
      <c r="A430" s="273">
        <v>45918</v>
      </c>
      <c r="B430" s="138" t="s">
        <v>380</v>
      </c>
      <c r="C430" s="137" t="s">
        <v>803</v>
      </c>
      <c r="D430" s="137" t="s">
        <v>1475</v>
      </c>
      <c r="E430" s="492"/>
      <c r="F430" s="109" t="s">
        <v>65</v>
      </c>
      <c r="G430" s="133">
        <v>225</v>
      </c>
      <c r="H430" s="133">
        <v>133</v>
      </c>
      <c r="I430" s="109"/>
      <c r="J430" s="109"/>
      <c r="K430" s="133"/>
      <c r="L430" s="109"/>
      <c r="M430" s="109"/>
      <c r="N430" s="109"/>
      <c r="O430" s="391"/>
      <c r="P430" s="138" t="s">
        <v>5</v>
      </c>
      <c r="Q430" s="139">
        <v>333800</v>
      </c>
      <c r="R430" s="392">
        <v>0.18</v>
      </c>
      <c r="S430" s="393">
        <f t="shared" si="88"/>
        <v>60084</v>
      </c>
      <c r="T430" s="387">
        <f t="shared" si="89"/>
        <v>1483.5555555555557</v>
      </c>
      <c r="U430" s="141">
        <f>IF(A430="","",(A430+60))</f>
        <v>45978</v>
      </c>
      <c r="V430" s="142"/>
      <c r="W430" s="143"/>
      <c r="X430" s="568"/>
      <c r="Y430" s="569"/>
      <c r="Z430" s="570"/>
      <c r="AA430" s="571"/>
      <c r="AB430" s="185"/>
      <c r="AC430" s="185"/>
      <c r="AD430" s="185"/>
      <c r="AE430" s="185"/>
      <c r="AF430" s="185"/>
    </row>
    <row r="431" spans="1:32" s="115" customFormat="1" ht="16" customHeight="1">
      <c r="A431" s="273">
        <v>45916</v>
      </c>
      <c r="B431" s="138" t="s">
        <v>804</v>
      </c>
      <c r="C431" s="137" t="s">
        <v>805</v>
      </c>
      <c r="D431" s="137" t="s">
        <v>1474</v>
      </c>
      <c r="E431" s="492"/>
      <c r="F431" s="109" t="s">
        <v>806</v>
      </c>
      <c r="G431" s="133">
        <v>480</v>
      </c>
      <c r="H431" s="133">
        <v>189</v>
      </c>
      <c r="I431" s="109"/>
      <c r="J431" s="109"/>
      <c r="K431" s="133"/>
      <c r="L431" s="109"/>
      <c r="M431" s="109"/>
      <c r="N431" s="109"/>
      <c r="O431" s="391"/>
      <c r="P431" s="138" t="s">
        <v>5</v>
      </c>
      <c r="Q431" s="139">
        <v>570415</v>
      </c>
      <c r="R431" s="392">
        <v>0.18</v>
      </c>
      <c r="S431" s="393">
        <f t="shared" si="88"/>
        <v>102674.7</v>
      </c>
      <c r="T431" s="387">
        <f t="shared" si="89"/>
        <v>1188.3645833333333</v>
      </c>
      <c r="U431" s="141">
        <v>45916</v>
      </c>
      <c r="V431" s="142"/>
      <c r="W431" s="143"/>
      <c r="X431" s="568"/>
      <c r="Y431" s="569"/>
      <c r="Z431" s="570"/>
      <c r="AA431" s="571"/>
      <c r="AB431" s="185"/>
      <c r="AC431" s="185"/>
      <c r="AD431" s="185"/>
      <c r="AE431" s="185"/>
      <c r="AF431" s="185"/>
    </row>
    <row r="432" spans="1:32" s="115" customFormat="1" ht="16" customHeight="1">
      <c r="A432" s="273">
        <v>45922</v>
      </c>
      <c r="B432" s="138" t="s">
        <v>380</v>
      </c>
      <c r="C432" s="137" t="s">
        <v>693</v>
      </c>
      <c r="D432" s="137" t="s">
        <v>1471</v>
      </c>
      <c r="E432" s="492"/>
      <c r="F432" s="109" t="s">
        <v>109</v>
      </c>
      <c r="G432" s="133">
        <v>1085</v>
      </c>
      <c r="H432" s="133">
        <v>474</v>
      </c>
      <c r="I432" s="109"/>
      <c r="J432" s="109"/>
      <c r="K432" s="133"/>
      <c r="L432" s="109"/>
      <c r="M432" s="109"/>
      <c r="N432" s="109"/>
      <c r="O432" s="391"/>
      <c r="P432" s="138" t="s">
        <v>5</v>
      </c>
      <c r="Q432" s="139">
        <v>1270800</v>
      </c>
      <c r="R432" s="392">
        <v>0.18</v>
      </c>
      <c r="S432" s="393">
        <f t="shared" si="88"/>
        <v>228744</v>
      </c>
      <c r="T432" s="387">
        <f t="shared" si="89"/>
        <v>1171.2442396313363</v>
      </c>
      <c r="U432" s="141">
        <f t="shared" ref="U432:U454" si="93">IF(A432="","",(A432+60))</f>
        <v>45982</v>
      </c>
      <c r="V432" s="142"/>
      <c r="W432" s="143"/>
      <c r="X432" s="568"/>
      <c r="Y432" s="569"/>
      <c r="Z432" s="570"/>
      <c r="AA432" s="571"/>
      <c r="AB432" s="185"/>
      <c r="AC432" s="185"/>
      <c r="AD432" s="185"/>
      <c r="AE432" s="185"/>
      <c r="AF432" s="185"/>
    </row>
    <row r="433" spans="1:32" s="115" customFormat="1" ht="16" customHeight="1">
      <c r="A433" s="273">
        <v>45925</v>
      </c>
      <c r="B433" s="138" t="s">
        <v>380</v>
      </c>
      <c r="C433" s="137" t="s">
        <v>810</v>
      </c>
      <c r="D433" s="137" t="s">
        <v>1469</v>
      </c>
      <c r="E433" s="492"/>
      <c r="F433" s="109" t="s">
        <v>65</v>
      </c>
      <c r="G433" s="133">
        <v>475</v>
      </c>
      <c r="H433" s="133">
        <v>242</v>
      </c>
      <c r="I433" s="109"/>
      <c r="J433" s="109"/>
      <c r="K433" s="133"/>
      <c r="L433" s="109"/>
      <c r="M433" s="109"/>
      <c r="N433" s="109"/>
      <c r="O433" s="391"/>
      <c r="P433" s="138" t="s">
        <v>5</v>
      </c>
      <c r="Q433" s="139">
        <v>737800</v>
      </c>
      <c r="R433" s="392">
        <v>0.18</v>
      </c>
      <c r="S433" s="393">
        <f t="shared" si="88"/>
        <v>132804</v>
      </c>
      <c r="T433" s="387">
        <f t="shared" si="89"/>
        <v>1553.2631578947369</v>
      </c>
      <c r="U433" s="141">
        <f t="shared" si="93"/>
        <v>45985</v>
      </c>
      <c r="V433" s="142"/>
      <c r="W433" s="143"/>
      <c r="X433" s="568"/>
      <c r="Y433" s="569"/>
      <c r="Z433" s="570"/>
      <c r="AA433" s="571"/>
      <c r="AB433" s="185"/>
      <c r="AC433" s="185"/>
      <c r="AD433" s="185"/>
      <c r="AE433" s="185"/>
      <c r="AF433" s="185"/>
    </row>
    <row r="434" spans="1:32" s="115" customFormat="1" ht="16" customHeight="1">
      <c r="A434" s="273">
        <v>45929</v>
      </c>
      <c r="B434" s="138" t="s">
        <v>380</v>
      </c>
      <c r="C434" s="137" t="s">
        <v>811</v>
      </c>
      <c r="D434" s="137" t="s">
        <v>1468</v>
      </c>
      <c r="E434" s="492"/>
      <c r="F434" s="109" t="s">
        <v>291</v>
      </c>
      <c r="G434" s="133">
        <v>1466</v>
      </c>
      <c r="H434" s="133">
        <v>1081</v>
      </c>
      <c r="I434" s="109"/>
      <c r="J434" s="109"/>
      <c r="K434" s="133"/>
      <c r="L434" s="109"/>
      <c r="M434" s="109"/>
      <c r="N434" s="109"/>
      <c r="O434" s="391"/>
      <c r="P434" s="138" t="s">
        <v>5</v>
      </c>
      <c r="Q434" s="139">
        <v>2845893</v>
      </c>
      <c r="R434" s="392">
        <v>0.18</v>
      </c>
      <c r="S434" s="393">
        <f t="shared" si="88"/>
        <v>512260.74</v>
      </c>
      <c r="T434" s="387">
        <f t="shared" si="89"/>
        <v>1941.2639836289222</v>
      </c>
      <c r="U434" s="141">
        <f t="shared" si="93"/>
        <v>45989</v>
      </c>
      <c r="V434" s="142"/>
      <c r="W434" s="143"/>
      <c r="X434" s="568"/>
      <c r="Y434" s="569"/>
      <c r="Z434" s="570"/>
      <c r="AA434" s="571"/>
      <c r="AB434" s="185"/>
      <c r="AC434" s="185"/>
      <c r="AD434" s="185"/>
      <c r="AE434" s="185"/>
      <c r="AF434" s="185"/>
    </row>
    <row r="435" spans="1:32" s="115" customFormat="1" ht="16" customHeight="1">
      <c r="A435" s="273">
        <v>45938</v>
      </c>
      <c r="B435" s="138" t="s">
        <v>380</v>
      </c>
      <c r="C435" s="137" t="s">
        <v>786</v>
      </c>
      <c r="D435" s="137" t="s">
        <v>1470</v>
      </c>
      <c r="E435" s="492"/>
      <c r="F435" s="109" t="s">
        <v>65</v>
      </c>
      <c r="G435" s="133">
        <v>788</v>
      </c>
      <c r="H435" s="133">
        <v>161</v>
      </c>
      <c r="I435" s="109"/>
      <c r="J435" s="109"/>
      <c r="K435" s="133"/>
      <c r="L435" s="109"/>
      <c r="M435" s="109"/>
      <c r="N435" s="109"/>
      <c r="O435" s="391"/>
      <c r="P435" s="138" t="s">
        <v>5</v>
      </c>
      <c r="Q435" s="139">
        <v>710800</v>
      </c>
      <c r="R435" s="392">
        <v>0.18</v>
      </c>
      <c r="S435" s="393">
        <f t="shared" si="88"/>
        <v>127944</v>
      </c>
      <c r="T435" s="387">
        <f t="shared" si="89"/>
        <v>902.03045685279187</v>
      </c>
      <c r="U435" s="141">
        <f t="shared" si="93"/>
        <v>45998</v>
      </c>
      <c r="V435" s="142"/>
      <c r="W435" s="143"/>
      <c r="X435" s="568"/>
      <c r="Y435" s="569"/>
      <c r="Z435" s="570"/>
      <c r="AA435" s="571"/>
      <c r="AB435" s="185"/>
      <c r="AC435" s="185"/>
      <c r="AD435" s="185"/>
      <c r="AE435" s="185"/>
      <c r="AF435" s="185"/>
    </row>
    <row r="436" spans="1:32" s="115" customFormat="1" ht="16" customHeight="1">
      <c r="A436" s="273">
        <v>45971</v>
      </c>
      <c r="B436" s="138" t="s">
        <v>380</v>
      </c>
      <c r="C436" s="137" t="s">
        <v>782</v>
      </c>
      <c r="D436" s="137" t="s">
        <v>783</v>
      </c>
      <c r="E436" s="492"/>
      <c r="F436" s="109" t="s">
        <v>784</v>
      </c>
      <c r="G436" s="133">
        <v>155</v>
      </c>
      <c r="H436" s="133">
        <v>164</v>
      </c>
      <c r="I436" s="109"/>
      <c r="J436" s="109"/>
      <c r="K436" s="133"/>
      <c r="L436" s="109"/>
      <c r="M436" s="109"/>
      <c r="N436" s="109"/>
      <c r="O436" s="391"/>
      <c r="P436" s="138" t="s">
        <v>5</v>
      </c>
      <c r="Q436" s="139">
        <v>422800</v>
      </c>
      <c r="R436" s="392">
        <v>0.18</v>
      </c>
      <c r="S436" s="393">
        <v>57991</v>
      </c>
      <c r="T436" s="387">
        <v>2078</v>
      </c>
      <c r="U436" s="141">
        <f t="shared" si="93"/>
        <v>46031</v>
      </c>
      <c r="V436" s="142"/>
      <c r="W436" s="143" t="s">
        <v>785</v>
      </c>
      <c r="X436" s="568"/>
      <c r="Y436" s="569"/>
      <c r="Z436" s="570"/>
      <c r="AA436" s="571"/>
      <c r="AB436" s="185"/>
      <c r="AC436" s="185"/>
      <c r="AD436" s="185"/>
      <c r="AE436" s="185"/>
      <c r="AF436" s="185"/>
    </row>
    <row r="437" spans="1:32" s="115" customFormat="1" ht="16" customHeight="1">
      <c r="A437" s="273">
        <v>45965</v>
      </c>
      <c r="B437" s="138" t="s">
        <v>380</v>
      </c>
      <c r="C437" s="137" t="s">
        <v>786</v>
      </c>
      <c r="D437" s="137" t="s">
        <v>787</v>
      </c>
      <c r="E437" s="492"/>
      <c r="F437" s="109" t="s">
        <v>65</v>
      </c>
      <c r="G437" s="133">
        <v>783</v>
      </c>
      <c r="H437" s="133">
        <v>175</v>
      </c>
      <c r="I437" s="109"/>
      <c r="J437" s="109"/>
      <c r="K437" s="133"/>
      <c r="L437" s="109"/>
      <c r="M437" s="109"/>
      <c r="N437" s="109"/>
      <c r="O437" s="391"/>
      <c r="P437" s="138" t="s">
        <v>5</v>
      </c>
      <c r="Q437" s="139">
        <v>539800</v>
      </c>
      <c r="R437" s="392">
        <v>0.18</v>
      </c>
      <c r="S437" s="393">
        <f t="shared" ref="S437:S443" si="94">Q437*R437</f>
        <v>97164</v>
      </c>
      <c r="T437" s="387">
        <f t="shared" ref="T437:T443" si="95">Q437/G437</f>
        <v>689.3997445721584</v>
      </c>
      <c r="U437" s="141">
        <f t="shared" si="93"/>
        <v>46025</v>
      </c>
      <c r="V437" s="142"/>
      <c r="W437" s="143"/>
      <c r="X437" s="568"/>
      <c r="Y437" s="569"/>
      <c r="Z437" s="570"/>
      <c r="AA437" s="571"/>
      <c r="AB437" s="185"/>
      <c r="AC437" s="185"/>
      <c r="AD437" s="185"/>
      <c r="AE437" s="185"/>
      <c r="AF437" s="185"/>
    </row>
    <row r="438" spans="1:32" s="115" customFormat="1" ht="16" customHeight="1">
      <c r="A438" s="273">
        <v>45944</v>
      </c>
      <c r="B438" s="138" t="s">
        <v>380</v>
      </c>
      <c r="C438" s="137" t="s">
        <v>788</v>
      </c>
      <c r="D438" s="137" t="s">
        <v>1472</v>
      </c>
      <c r="E438" s="492"/>
      <c r="F438" s="109" t="s">
        <v>41</v>
      </c>
      <c r="G438" s="133">
        <v>154</v>
      </c>
      <c r="H438" s="133">
        <v>50</v>
      </c>
      <c r="I438" s="109"/>
      <c r="J438" s="109"/>
      <c r="K438" s="133"/>
      <c r="L438" s="109"/>
      <c r="M438" s="109"/>
      <c r="N438" s="109"/>
      <c r="O438" s="391"/>
      <c r="P438" s="138" t="s">
        <v>5</v>
      </c>
      <c r="Q438" s="139">
        <v>84800</v>
      </c>
      <c r="R438" s="392">
        <v>0.18</v>
      </c>
      <c r="S438" s="393">
        <f t="shared" si="94"/>
        <v>15264</v>
      </c>
      <c r="T438" s="387">
        <f t="shared" si="95"/>
        <v>550.64935064935059</v>
      </c>
      <c r="U438" s="141">
        <f t="shared" si="93"/>
        <v>46004</v>
      </c>
      <c r="V438" s="142"/>
      <c r="W438" s="143"/>
      <c r="X438" s="568"/>
      <c r="Y438" s="569"/>
      <c r="Z438" s="570"/>
      <c r="AA438" s="571"/>
      <c r="AB438" s="185"/>
      <c r="AC438" s="185"/>
      <c r="AD438" s="185"/>
      <c r="AE438" s="185"/>
      <c r="AF438" s="185"/>
    </row>
    <row r="439" spans="1:32" s="115" customFormat="1" ht="16" customHeight="1">
      <c r="A439" s="273">
        <v>45945</v>
      </c>
      <c r="B439" s="138" t="s">
        <v>380</v>
      </c>
      <c r="C439" s="137" t="s">
        <v>788</v>
      </c>
      <c r="D439" s="137" t="s">
        <v>789</v>
      </c>
      <c r="E439" s="492"/>
      <c r="F439" s="109" t="s">
        <v>41</v>
      </c>
      <c r="G439" s="133">
        <v>165</v>
      </c>
      <c r="H439" s="133">
        <v>51</v>
      </c>
      <c r="I439" s="109"/>
      <c r="J439" s="109"/>
      <c r="K439" s="133"/>
      <c r="L439" s="109"/>
      <c r="M439" s="109"/>
      <c r="N439" s="109"/>
      <c r="O439" s="391"/>
      <c r="P439" s="138" t="s">
        <v>5</v>
      </c>
      <c r="Q439" s="139">
        <v>87800</v>
      </c>
      <c r="R439" s="392">
        <v>0.18</v>
      </c>
      <c r="S439" s="393">
        <f t="shared" si="94"/>
        <v>15804</v>
      </c>
      <c r="T439" s="387">
        <f t="shared" si="95"/>
        <v>532.12121212121212</v>
      </c>
      <c r="U439" s="141">
        <f t="shared" si="93"/>
        <v>46005</v>
      </c>
      <c r="V439" s="142"/>
      <c r="W439" s="143"/>
      <c r="X439" s="568"/>
      <c r="Y439" s="569"/>
      <c r="Z439" s="570"/>
      <c r="AA439" s="571"/>
      <c r="AB439" s="185"/>
      <c r="AC439" s="185"/>
      <c r="AD439" s="185"/>
      <c r="AE439" s="185"/>
      <c r="AF439" s="185"/>
    </row>
    <row r="440" spans="1:32" s="115" customFormat="1" ht="16" customHeight="1">
      <c r="A440" s="273">
        <v>45946</v>
      </c>
      <c r="B440" s="138" t="s">
        <v>380</v>
      </c>
      <c r="C440" s="137" t="s">
        <v>790</v>
      </c>
      <c r="D440" s="137" t="s">
        <v>791</v>
      </c>
      <c r="E440" s="492"/>
      <c r="F440" s="109" t="s">
        <v>41</v>
      </c>
      <c r="G440" s="133">
        <v>280</v>
      </c>
      <c r="H440" s="133">
        <v>64</v>
      </c>
      <c r="I440" s="109"/>
      <c r="J440" s="109"/>
      <c r="K440" s="133"/>
      <c r="L440" s="109"/>
      <c r="M440" s="109"/>
      <c r="N440" s="109"/>
      <c r="O440" s="391"/>
      <c r="P440" s="138" t="s">
        <v>5</v>
      </c>
      <c r="Q440" s="139">
        <v>125800</v>
      </c>
      <c r="R440" s="392">
        <v>0.18</v>
      </c>
      <c r="S440" s="393">
        <f t="shared" si="94"/>
        <v>22644</v>
      </c>
      <c r="T440" s="387">
        <f t="shared" si="95"/>
        <v>449.28571428571428</v>
      </c>
      <c r="U440" s="141">
        <f t="shared" si="93"/>
        <v>46006</v>
      </c>
      <c r="V440" s="142"/>
      <c r="W440" s="143"/>
      <c r="X440" s="568"/>
      <c r="Y440" s="569"/>
      <c r="Z440" s="570"/>
      <c r="AA440" s="571"/>
      <c r="AB440" s="185"/>
      <c r="AC440" s="185"/>
      <c r="AD440" s="185"/>
      <c r="AE440" s="185"/>
      <c r="AF440" s="185"/>
    </row>
    <row r="441" spans="1:32" s="115" customFormat="1" ht="16" customHeight="1">
      <c r="A441" s="273">
        <v>45951</v>
      </c>
      <c r="B441" s="138" t="s">
        <v>380</v>
      </c>
      <c r="C441" s="137" t="s">
        <v>1485</v>
      </c>
      <c r="D441" s="137" t="s">
        <v>792</v>
      </c>
      <c r="E441" s="492"/>
      <c r="F441" s="109" t="s">
        <v>65</v>
      </c>
      <c r="G441" s="133">
        <v>112</v>
      </c>
      <c r="H441" s="133">
        <v>77</v>
      </c>
      <c r="I441" s="109"/>
      <c r="J441" s="109"/>
      <c r="K441" s="133"/>
      <c r="L441" s="109"/>
      <c r="M441" s="109"/>
      <c r="N441" s="109"/>
      <c r="O441" s="391"/>
      <c r="P441" s="138" t="s">
        <v>5</v>
      </c>
      <c r="Q441" s="139">
        <v>247800</v>
      </c>
      <c r="R441" s="392">
        <v>0.18</v>
      </c>
      <c r="S441" s="393">
        <f t="shared" si="94"/>
        <v>44604</v>
      </c>
      <c r="T441" s="387">
        <f t="shared" si="95"/>
        <v>2212.5</v>
      </c>
      <c r="U441" s="141">
        <f t="shared" si="93"/>
        <v>46011</v>
      </c>
      <c r="V441" s="142"/>
      <c r="W441" s="143"/>
      <c r="X441" s="568"/>
      <c r="Y441" s="569"/>
      <c r="Z441" s="570"/>
      <c r="AA441" s="571"/>
      <c r="AB441" s="185"/>
      <c r="AC441" s="185"/>
      <c r="AD441" s="185"/>
      <c r="AE441" s="185"/>
      <c r="AF441" s="185"/>
    </row>
    <row r="442" spans="1:32" s="115" customFormat="1" ht="16" customHeight="1">
      <c r="A442" s="273">
        <v>45959</v>
      </c>
      <c r="B442" s="138" t="s">
        <v>380</v>
      </c>
      <c r="C442" s="137" t="s">
        <v>793</v>
      </c>
      <c r="D442" s="137" t="s">
        <v>794</v>
      </c>
      <c r="E442" s="492"/>
      <c r="F442" s="109" t="s">
        <v>65</v>
      </c>
      <c r="G442" s="133">
        <v>525</v>
      </c>
      <c r="H442" s="133">
        <v>116</v>
      </c>
      <c r="I442" s="109"/>
      <c r="J442" s="109"/>
      <c r="K442" s="133"/>
      <c r="L442" s="109"/>
      <c r="M442" s="109"/>
      <c r="N442" s="109"/>
      <c r="O442" s="391"/>
      <c r="P442" s="138" t="s">
        <v>5</v>
      </c>
      <c r="Q442" s="139">
        <v>328800</v>
      </c>
      <c r="R442" s="392">
        <v>0.2</v>
      </c>
      <c r="S442" s="393">
        <f t="shared" si="94"/>
        <v>65760</v>
      </c>
      <c r="T442" s="387">
        <f t="shared" si="95"/>
        <v>626.28571428571433</v>
      </c>
      <c r="U442" s="141">
        <f t="shared" si="93"/>
        <v>46019</v>
      </c>
      <c r="V442" s="142"/>
      <c r="W442" s="143"/>
      <c r="X442" s="568"/>
      <c r="Y442" s="569"/>
      <c r="Z442" s="570"/>
      <c r="AA442" s="571"/>
      <c r="AB442" s="185"/>
      <c r="AC442" s="185"/>
      <c r="AD442" s="185"/>
      <c r="AE442" s="185"/>
      <c r="AF442" s="185"/>
    </row>
    <row r="443" spans="1:32" s="115" customFormat="1" ht="16" customHeight="1">
      <c r="A443" s="273">
        <v>45966</v>
      </c>
      <c r="B443" s="138" t="s">
        <v>380</v>
      </c>
      <c r="C443" s="137" t="s">
        <v>795</v>
      </c>
      <c r="D443" s="137" t="s">
        <v>796</v>
      </c>
      <c r="E443" s="492"/>
      <c r="F443" s="109" t="s">
        <v>65</v>
      </c>
      <c r="G443" s="133">
        <v>1011</v>
      </c>
      <c r="H443" s="133">
        <v>270</v>
      </c>
      <c r="I443" s="109"/>
      <c r="J443" s="109"/>
      <c r="K443" s="133"/>
      <c r="L443" s="109"/>
      <c r="M443" s="109"/>
      <c r="N443" s="109"/>
      <c r="O443" s="391"/>
      <c r="P443" s="138" t="s">
        <v>5</v>
      </c>
      <c r="Q443" s="139">
        <v>622800</v>
      </c>
      <c r="R443" s="392">
        <v>0.18</v>
      </c>
      <c r="S443" s="393">
        <f t="shared" si="94"/>
        <v>112104</v>
      </c>
      <c r="T443" s="387">
        <f t="shared" si="95"/>
        <v>616.02373887240356</v>
      </c>
      <c r="U443" s="141">
        <f t="shared" si="93"/>
        <v>46026</v>
      </c>
      <c r="V443" s="142"/>
      <c r="W443" s="143"/>
      <c r="X443" s="568"/>
      <c r="Y443" s="569"/>
      <c r="Z443" s="570"/>
      <c r="AA443" s="571"/>
      <c r="AB443" s="185"/>
      <c r="AC443" s="185"/>
      <c r="AD443" s="185"/>
      <c r="AE443" s="185"/>
      <c r="AF443" s="185"/>
    </row>
    <row r="444" spans="1:32" s="115" customFormat="1" ht="16" customHeight="1">
      <c r="A444" s="273">
        <v>45978</v>
      </c>
      <c r="B444" s="138" t="s">
        <v>380</v>
      </c>
      <c r="C444" s="137" t="s">
        <v>793</v>
      </c>
      <c r="D444" s="137" t="s">
        <v>1481</v>
      </c>
      <c r="E444" s="492"/>
      <c r="F444" s="109" t="s">
        <v>65</v>
      </c>
      <c r="G444" s="133">
        <v>309</v>
      </c>
      <c r="H444" s="133">
        <v>107</v>
      </c>
      <c r="I444" s="109"/>
      <c r="J444" s="109"/>
      <c r="K444" s="133"/>
      <c r="L444" s="109"/>
      <c r="M444" s="109"/>
      <c r="N444" s="109"/>
      <c r="O444" s="391"/>
      <c r="P444" s="138" t="s">
        <v>5</v>
      </c>
      <c r="Q444" s="139">
        <v>249800</v>
      </c>
      <c r="R444" s="392">
        <v>0.18</v>
      </c>
      <c r="S444" s="393">
        <v>44910</v>
      </c>
      <c r="T444" s="387">
        <v>807</v>
      </c>
      <c r="U444" s="141">
        <f t="shared" si="93"/>
        <v>46038</v>
      </c>
      <c r="V444" s="142"/>
      <c r="W444" s="143" t="s">
        <v>1466</v>
      </c>
      <c r="X444" s="568"/>
      <c r="Y444" s="569"/>
      <c r="Z444" s="570"/>
      <c r="AA444" s="571"/>
      <c r="AB444" s="185"/>
      <c r="AC444" s="185"/>
      <c r="AD444" s="185"/>
      <c r="AE444" s="185"/>
      <c r="AF444" s="185"/>
    </row>
    <row r="445" spans="1:32" s="115" customFormat="1" ht="16" customHeight="1">
      <c r="A445" s="273"/>
      <c r="B445" s="138"/>
      <c r="C445" s="137"/>
      <c r="D445" s="137"/>
      <c r="E445" s="492"/>
      <c r="F445" s="109"/>
      <c r="G445" s="133"/>
      <c r="H445" s="133"/>
      <c r="I445" s="109"/>
      <c r="J445" s="109"/>
      <c r="K445" s="133"/>
      <c r="L445" s="109"/>
      <c r="M445" s="109"/>
      <c r="N445" s="109"/>
      <c r="O445" s="391"/>
      <c r="P445" s="138"/>
      <c r="Q445" s="139"/>
      <c r="R445" s="392"/>
      <c r="S445" s="393"/>
      <c r="T445" s="387"/>
      <c r="U445" s="141" t="str">
        <f t="shared" si="93"/>
        <v/>
      </c>
      <c r="V445" s="142"/>
      <c r="W445" s="143"/>
      <c r="X445" s="568"/>
      <c r="Y445" s="569"/>
      <c r="Z445" s="570"/>
      <c r="AA445" s="571"/>
      <c r="AB445" s="185"/>
      <c r="AC445" s="185"/>
      <c r="AD445" s="185"/>
      <c r="AE445" s="185"/>
      <c r="AF445" s="185"/>
    </row>
    <row r="446" spans="1:32" s="115" customFormat="1" ht="16" customHeight="1">
      <c r="A446" s="273"/>
      <c r="B446" s="138"/>
      <c r="C446" s="137"/>
      <c r="D446" s="137"/>
      <c r="E446" s="492"/>
      <c r="F446" s="109"/>
      <c r="G446" s="133"/>
      <c r="H446" s="133"/>
      <c r="I446" s="109"/>
      <c r="J446" s="109"/>
      <c r="K446" s="133"/>
      <c r="L446" s="109"/>
      <c r="M446" s="109"/>
      <c r="N446" s="109"/>
      <c r="O446" s="391"/>
      <c r="P446" s="138"/>
      <c r="Q446" s="139"/>
      <c r="R446" s="392"/>
      <c r="S446" s="393"/>
      <c r="T446" s="387"/>
      <c r="U446" s="141" t="str">
        <f t="shared" si="93"/>
        <v/>
      </c>
      <c r="V446" s="142"/>
      <c r="W446" s="143"/>
      <c r="X446" s="568"/>
      <c r="Y446" s="569"/>
      <c r="Z446" s="570"/>
      <c r="AA446" s="571"/>
      <c r="AB446" s="185"/>
      <c r="AC446" s="185"/>
      <c r="AD446" s="185"/>
      <c r="AE446" s="185"/>
      <c r="AF446" s="185"/>
    </row>
    <row r="447" spans="1:32" s="115" customFormat="1" ht="16" customHeight="1">
      <c r="A447" s="273"/>
      <c r="B447" s="138"/>
      <c r="C447" s="137"/>
      <c r="D447" s="137"/>
      <c r="E447" s="492"/>
      <c r="F447" s="109"/>
      <c r="G447" s="133"/>
      <c r="H447" s="133"/>
      <c r="I447" s="109"/>
      <c r="J447" s="109"/>
      <c r="K447" s="133"/>
      <c r="L447" s="109"/>
      <c r="M447" s="109"/>
      <c r="N447" s="109"/>
      <c r="O447" s="391"/>
      <c r="P447" s="138"/>
      <c r="Q447" s="139"/>
      <c r="R447" s="392"/>
      <c r="S447" s="393"/>
      <c r="T447" s="387"/>
      <c r="U447" s="141" t="str">
        <f t="shared" si="93"/>
        <v/>
      </c>
      <c r="V447" s="142"/>
      <c r="W447" s="143"/>
      <c r="X447" s="568"/>
      <c r="Y447" s="569"/>
      <c r="Z447" s="570"/>
      <c r="AA447" s="571"/>
      <c r="AB447" s="185"/>
      <c r="AC447" s="185"/>
      <c r="AD447" s="185"/>
      <c r="AE447" s="185"/>
      <c r="AF447" s="185"/>
    </row>
    <row r="448" spans="1:32" s="115" customFormat="1" ht="16" customHeight="1">
      <c r="A448" s="273"/>
      <c r="B448" s="138"/>
      <c r="C448" s="137"/>
      <c r="D448" s="137"/>
      <c r="E448" s="492"/>
      <c r="F448" s="109"/>
      <c r="G448" s="133"/>
      <c r="H448" s="133"/>
      <c r="I448" s="109"/>
      <c r="J448" s="109"/>
      <c r="K448" s="133"/>
      <c r="L448" s="109"/>
      <c r="M448" s="109"/>
      <c r="N448" s="109"/>
      <c r="O448" s="391"/>
      <c r="P448" s="138"/>
      <c r="Q448" s="139"/>
      <c r="R448" s="392"/>
      <c r="S448" s="393"/>
      <c r="T448" s="387"/>
      <c r="U448" s="141" t="str">
        <f t="shared" si="93"/>
        <v/>
      </c>
      <c r="V448" s="142"/>
      <c r="W448" s="143"/>
      <c r="X448" s="568"/>
      <c r="Y448" s="569"/>
      <c r="Z448" s="570"/>
      <c r="AA448" s="571"/>
      <c r="AB448" s="185"/>
      <c r="AC448" s="185"/>
      <c r="AD448" s="185"/>
      <c r="AE448" s="185"/>
      <c r="AF448" s="185"/>
    </row>
    <row r="449" spans="1:32" s="115" customFormat="1" ht="16" customHeight="1">
      <c r="A449" s="273"/>
      <c r="B449" s="138"/>
      <c r="C449" s="137"/>
      <c r="D449" s="137"/>
      <c r="E449" s="492"/>
      <c r="F449" s="109"/>
      <c r="G449" s="133"/>
      <c r="H449" s="133"/>
      <c r="I449" s="109"/>
      <c r="J449" s="109"/>
      <c r="K449" s="133"/>
      <c r="L449" s="109"/>
      <c r="M449" s="109"/>
      <c r="N449" s="109"/>
      <c r="O449" s="391"/>
      <c r="P449" s="138"/>
      <c r="Q449" s="139"/>
      <c r="R449" s="392"/>
      <c r="S449" s="393"/>
      <c r="T449" s="387"/>
      <c r="U449" s="141" t="str">
        <f t="shared" si="93"/>
        <v/>
      </c>
      <c r="V449" s="142"/>
      <c r="W449" s="143"/>
      <c r="X449" s="568"/>
      <c r="Y449" s="569"/>
      <c r="Z449" s="570"/>
      <c r="AA449" s="571"/>
      <c r="AB449" s="185"/>
      <c r="AC449" s="185"/>
      <c r="AD449" s="185"/>
      <c r="AE449" s="185"/>
      <c r="AF449" s="185"/>
    </row>
    <row r="450" spans="1:32" s="115" customFormat="1" ht="16" customHeight="1">
      <c r="A450" s="273"/>
      <c r="B450" s="138"/>
      <c r="C450" s="137"/>
      <c r="D450" s="137"/>
      <c r="E450" s="492"/>
      <c r="F450" s="109"/>
      <c r="G450" s="133"/>
      <c r="H450" s="133"/>
      <c r="I450" s="109"/>
      <c r="J450" s="109"/>
      <c r="K450" s="133"/>
      <c r="L450" s="109"/>
      <c r="M450" s="109"/>
      <c r="N450" s="109"/>
      <c r="O450" s="391"/>
      <c r="P450" s="138"/>
      <c r="Q450" s="139"/>
      <c r="R450" s="392"/>
      <c r="S450" s="393"/>
      <c r="T450" s="387"/>
      <c r="U450" s="141" t="str">
        <f t="shared" si="93"/>
        <v/>
      </c>
      <c r="V450" s="142"/>
      <c r="W450" s="143"/>
      <c r="X450" s="568"/>
      <c r="Y450" s="569"/>
      <c r="Z450" s="570"/>
      <c r="AA450" s="571"/>
      <c r="AB450" s="185"/>
      <c r="AC450" s="185"/>
      <c r="AD450" s="185"/>
      <c r="AE450" s="185"/>
      <c r="AF450" s="185"/>
    </row>
    <row r="451" spans="1:32" s="115" customFormat="1" ht="16" customHeight="1">
      <c r="A451" s="273"/>
      <c r="B451" s="138"/>
      <c r="C451" s="137"/>
      <c r="D451" s="137"/>
      <c r="E451" s="492"/>
      <c r="F451" s="109"/>
      <c r="G451" s="133"/>
      <c r="H451" s="133"/>
      <c r="I451" s="109"/>
      <c r="J451" s="109"/>
      <c r="K451" s="133"/>
      <c r="L451" s="109"/>
      <c r="M451" s="109"/>
      <c r="N451" s="109"/>
      <c r="O451" s="391"/>
      <c r="P451" s="138"/>
      <c r="Q451" s="139"/>
      <c r="R451" s="392"/>
      <c r="S451" s="393"/>
      <c r="T451" s="387"/>
      <c r="U451" s="141" t="str">
        <f t="shared" si="93"/>
        <v/>
      </c>
      <c r="V451" s="142"/>
      <c r="W451" s="143"/>
      <c r="X451" s="568"/>
      <c r="Y451" s="569"/>
      <c r="Z451" s="570"/>
      <c r="AA451" s="571"/>
      <c r="AB451" s="185"/>
      <c r="AC451" s="185"/>
      <c r="AD451" s="185"/>
      <c r="AE451" s="185"/>
      <c r="AF451" s="185"/>
    </row>
    <row r="452" spans="1:32" s="115" customFormat="1" ht="16" customHeight="1">
      <c r="A452" s="273"/>
      <c r="B452" s="138"/>
      <c r="C452" s="137"/>
      <c r="D452" s="137"/>
      <c r="E452" s="492"/>
      <c r="F452" s="109"/>
      <c r="G452" s="133"/>
      <c r="H452" s="133"/>
      <c r="I452" s="109"/>
      <c r="J452" s="109"/>
      <c r="K452" s="133"/>
      <c r="L452" s="109"/>
      <c r="M452" s="109"/>
      <c r="N452" s="109"/>
      <c r="O452" s="391"/>
      <c r="P452" s="138"/>
      <c r="Q452" s="139"/>
      <c r="R452" s="392"/>
      <c r="S452" s="393"/>
      <c r="T452" s="387"/>
      <c r="U452" s="141" t="str">
        <f t="shared" si="93"/>
        <v/>
      </c>
      <c r="V452" s="142"/>
      <c r="W452" s="143"/>
      <c r="X452" s="568"/>
      <c r="Y452" s="569"/>
      <c r="Z452" s="570"/>
      <c r="AA452" s="571"/>
      <c r="AB452" s="185"/>
      <c r="AC452" s="185"/>
      <c r="AD452" s="185"/>
      <c r="AE452" s="185"/>
      <c r="AF452" s="185"/>
    </row>
    <row r="453" spans="1:32" s="115" customFormat="1" ht="16" customHeight="1">
      <c r="A453" s="273"/>
      <c r="B453" s="138"/>
      <c r="C453" s="137"/>
      <c r="D453" s="137"/>
      <c r="E453" s="492"/>
      <c r="F453" s="109"/>
      <c r="G453" s="133"/>
      <c r="H453" s="133"/>
      <c r="I453" s="109"/>
      <c r="J453" s="109"/>
      <c r="K453" s="133"/>
      <c r="L453" s="109"/>
      <c r="M453" s="109"/>
      <c r="N453" s="109"/>
      <c r="O453" s="391"/>
      <c r="P453" s="138"/>
      <c r="Q453" s="139"/>
      <c r="R453" s="392"/>
      <c r="S453" s="393"/>
      <c r="T453" s="387"/>
      <c r="U453" s="141" t="str">
        <f t="shared" si="93"/>
        <v/>
      </c>
      <c r="V453" s="142"/>
      <c r="W453" s="143"/>
      <c r="X453" s="568"/>
      <c r="Y453" s="569"/>
      <c r="Z453" s="570"/>
      <c r="AA453" s="571"/>
      <c r="AB453" s="185"/>
      <c r="AC453" s="185"/>
      <c r="AD453" s="185"/>
      <c r="AE453" s="185"/>
      <c r="AF453" s="185"/>
    </row>
    <row r="454" spans="1:32" s="115" customFormat="1" ht="16" customHeight="1" thickBot="1">
      <c r="A454" s="500"/>
      <c r="B454" s="493"/>
      <c r="C454" s="397"/>
      <c r="D454" s="397"/>
      <c r="E454" s="566"/>
      <c r="F454" s="145"/>
      <c r="G454" s="146"/>
      <c r="H454" s="146"/>
      <c r="I454" s="145"/>
      <c r="J454" s="145"/>
      <c r="K454" s="146"/>
      <c r="L454" s="145"/>
      <c r="M454" s="145"/>
      <c r="N454" s="109"/>
      <c r="O454" s="134"/>
      <c r="P454" s="493"/>
      <c r="Q454" s="147"/>
      <c r="R454" s="251"/>
      <c r="S454" s="148"/>
      <c r="T454" s="575"/>
      <c r="U454" s="566" t="str">
        <f t="shared" si="93"/>
        <v/>
      </c>
      <c r="V454" s="501"/>
      <c r="W454" s="149"/>
      <c r="X454" s="477"/>
      <c r="Y454" s="576"/>
      <c r="Z454" s="577"/>
      <c r="AA454" s="578"/>
      <c r="AB454" s="185"/>
      <c r="AC454" s="185"/>
      <c r="AD454" s="185"/>
      <c r="AE454" s="185"/>
      <c r="AF454" s="185"/>
    </row>
    <row r="455" spans="1:32" s="115" customFormat="1" ht="16" customHeight="1">
      <c r="A455" s="509"/>
      <c r="B455" s="590"/>
      <c r="C455" s="509"/>
      <c r="D455" s="509"/>
      <c r="E455" s="509"/>
      <c r="F455" s="509"/>
      <c r="G455" s="509"/>
      <c r="H455" s="509"/>
      <c r="I455" s="509"/>
      <c r="J455" s="509"/>
      <c r="K455" s="509"/>
      <c r="L455" s="509"/>
      <c r="M455" s="509"/>
      <c r="N455" s="509"/>
      <c r="O455" s="509"/>
      <c r="P455" s="509"/>
      <c r="Q455" s="509"/>
      <c r="R455" s="509"/>
      <c r="S455" s="509"/>
      <c r="T455" s="509"/>
      <c r="U455" s="509"/>
      <c r="V455" s="509"/>
      <c r="W455" s="509"/>
      <c r="X455" s="185"/>
      <c r="Y455" s="195"/>
      <c r="Z455" s="195"/>
      <c r="AA455" s="185"/>
      <c r="AB455" s="185"/>
      <c r="AC455" s="185"/>
      <c r="AD455" s="185"/>
      <c r="AE455" s="185"/>
      <c r="AF455" s="185"/>
    </row>
    <row r="456" spans="1:32" s="115" customFormat="1" ht="16" customHeight="1">
      <c r="A456" s="509"/>
      <c r="B456" s="590"/>
      <c r="C456" s="509"/>
      <c r="D456" s="509"/>
      <c r="E456" s="509"/>
      <c r="F456" s="509"/>
      <c r="G456" s="509"/>
      <c r="H456" s="509"/>
      <c r="I456" s="509"/>
      <c r="J456" s="509"/>
      <c r="K456" s="509"/>
      <c r="L456" s="509"/>
      <c r="M456" s="509"/>
      <c r="N456" s="509"/>
      <c r="O456" s="509"/>
      <c r="P456" s="509"/>
      <c r="Q456" s="509"/>
      <c r="R456" s="509"/>
      <c r="S456" s="509"/>
      <c r="T456" s="509"/>
      <c r="U456" s="509"/>
      <c r="V456" s="509"/>
      <c r="W456" s="509"/>
      <c r="X456" s="185"/>
      <c r="Y456" s="195"/>
      <c r="Z456" s="195"/>
      <c r="AA456" s="185"/>
      <c r="AB456" s="185"/>
      <c r="AC456" s="185"/>
      <c r="AD456" s="185"/>
      <c r="AE456" s="185"/>
      <c r="AF456" s="185"/>
    </row>
    <row r="457" spans="1:32" s="115" customFormat="1" ht="16" customHeight="1">
      <c r="A457" s="509"/>
      <c r="B457" s="590"/>
      <c r="C457" s="509"/>
      <c r="D457" s="509"/>
      <c r="E457" s="509"/>
      <c r="F457" s="509"/>
      <c r="G457" s="509"/>
      <c r="H457" s="509"/>
      <c r="I457" s="509"/>
      <c r="J457" s="509"/>
      <c r="K457" s="509"/>
      <c r="L457" s="509"/>
      <c r="M457" s="509"/>
      <c r="N457" s="509"/>
      <c r="O457" s="509"/>
      <c r="P457" s="509"/>
      <c r="Q457" s="509"/>
      <c r="R457" s="509"/>
      <c r="S457" s="509"/>
      <c r="T457" s="509"/>
      <c r="U457" s="509"/>
      <c r="V457" s="509"/>
      <c r="W457" s="509"/>
      <c r="X457" s="185"/>
      <c r="Y457" s="195"/>
      <c r="Z457" s="195"/>
      <c r="AA457" s="185"/>
      <c r="AB457" s="185"/>
      <c r="AC457" s="185"/>
      <c r="AD457" s="185"/>
      <c r="AE457" s="185"/>
      <c r="AF457" s="185"/>
    </row>
    <row r="458" spans="1:32" s="126" customFormat="1" ht="19">
      <c r="A458" s="509"/>
      <c r="B458" s="590"/>
      <c r="C458" s="509"/>
      <c r="D458" s="509"/>
      <c r="E458" s="509"/>
      <c r="F458" s="509"/>
      <c r="G458" s="509"/>
      <c r="H458" s="509"/>
      <c r="I458" s="509"/>
      <c r="J458" s="509"/>
      <c r="K458" s="509"/>
      <c r="L458" s="509"/>
      <c r="M458" s="509"/>
      <c r="N458" s="509"/>
      <c r="O458" s="509"/>
      <c r="P458" s="509"/>
      <c r="Q458" s="509"/>
      <c r="R458" s="509"/>
      <c r="S458" s="509"/>
      <c r="T458" s="509"/>
      <c r="U458" s="509"/>
      <c r="V458" s="509"/>
      <c r="W458" s="509"/>
      <c r="X458" s="185"/>
      <c r="Y458" s="195"/>
      <c r="Z458" s="195"/>
      <c r="AA458" s="185"/>
      <c r="AB458" s="185"/>
      <c r="AC458" s="185"/>
      <c r="AD458" s="185"/>
      <c r="AE458" s="185"/>
      <c r="AF458" s="185"/>
    </row>
    <row r="459" spans="1:32" s="126" customFormat="1" ht="19">
      <c r="A459" s="509"/>
      <c r="B459" s="590"/>
      <c r="C459" s="509"/>
      <c r="D459" s="509"/>
      <c r="E459" s="509"/>
      <c r="F459" s="509"/>
      <c r="G459" s="509"/>
      <c r="H459" s="509"/>
      <c r="I459" s="509"/>
      <c r="J459" s="509"/>
      <c r="K459" s="509"/>
      <c r="L459" s="509"/>
      <c r="M459" s="509"/>
      <c r="N459" s="509"/>
      <c r="O459" s="509"/>
      <c r="P459" s="509"/>
      <c r="Q459" s="509"/>
      <c r="R459" s="509"/>
      <c r="S459" s="509"/>
      <c r="T459" s="509"/>
      <c r="U459" s="509"/>
      <c r="V459" s="509"/>
      <c r="W459" s="509"/>
      <c r="X459" s="185"/>
      <c r="Y459" s="195"/>
      <c r="Z459" s="195"/>
      <c r="AA459" s="185"/>
      <c r="AB459" s="185"/>
      <c r="AC459" s="185"/>
      <c r="AD459" s="185"/>
      <c r="AE459" s="185"/>
      <c r="AF459" s="185"/>
    </row>
    <row r="460" spans="1:32" s="126" customFormat="1" ht="19">
      <c r="A460" s="509"/>
      <c r="B460" s="590"/>
      <c r="C460" s="509"/>
      <c r="D460" s="509"/>
      <c r="E460" s="509"/>
      <c r="F460" s="509"/>
      <c r="G460" s="509"/>
      <c r="H460" s="509"/>
      <c r="I460" s="509"/>
      <c r="J460" s="509"/>
      <c r="K460" s="509"/>
      <c r="L460" s="509"/>
      <c r="M460" s="509"/>
      <c r="N460" s="509"/>
      <c r="O460" s="509"/>
      <c r="P460" s="509"/>
      <c r="Q460" s="509"/>
      <c r="R460" s="509"/>
      <c r="S460" s="509"/>
      <c r="T460" s="509"/>
      <c r="U460" s="509"/>
      <c r="V460" s="509"/>
      <c r="W460" s="509"/>
      <c r="X460" s="185"/>
      <c r="Y460" s="195"/>
      <c r="Z460" s="195"/>
      <c r="AA460" s="185"/>
      <c r="AB460" s="185"/>
      <c r="AC460" s="185"/>
      <c r="AD460" s="185"/>
      <c r="AE460" s="185"/>
      <c r="AF460" s="185"/>
    </row>
    <row r="461" spans="1:32" s="126" customFormat="1" ht="19">
      <c r="A461" s="509"/>
      <c r="B461" s="590"/>
      <c r="C461" s="509"/>
      <c r="D461" s="509"/>
      <c r="E461" s="509"/>
      <c r="F461" s="509"/>
      <c r="G461" s="509"/>
      <c r="H461" s="509"/>
      <c r="I461" s="509"/>
      <c r="J461" s="509"/>
      <c r="K461" s="509"/>
      <c r="L461" s="509"/>
      <c r="M461" s="509"/>
      <c r="N461" s="509"/>
      <c r="O461" s="509"/>
      <c r="P461" s="509"/>
      <c r="Q461" s="509"/>
      <c r="R461" s="509"/>
      <c r="S461" s="509"/>
      <c r="T461" s="509"/>
      <c r="U461" s="509"/>
      <c r="V461" s="509"/>
      <c r="W461" s="509"/>
      <c r="X461" s="185"/>
      <c r="Y461" s="195"/>
      <c r="Z461" s="195"/>
      <c r="AA461" s="185"/>
      <c r="AB461" s="185"/>
      <c r="AC461" s="185"/>
      <c r="AD461" s="185"/>
      <c r="AE461" s="185"/>
      <c r="AF461" s="185"/>
    </row>
    <row r="462" spans="1:32" ht="12.75" customHeight="1">
      <c r="A462" s="562"/>
      <c r="B462" s="185"/>
      <c r="C462" s="563"/>
      <c r="D462" s="564"/>
      <c r="E462" s="565"/>
      <c r="F462" s="185"/>
      <c r="G462" s="506"/>
      <c r="H462" s="506"/>
      <c r="I462" s="567"/>
      <c r="J462" s="506"/>
      <c r="K462" s="502"/>
      <c r="L462" s="502"/>
      <c r="M462" s="502"/>
      <c r="N462" s="502"/>
      <c r="O462" s="503"/>
      <c r="P462" s="185"/>
      <c r="Q462" s="185"/>
      <c r="R462" s="185"/>
      <c r="S462" s="185"/>
      <c r="T462" s="185"/>
      <c r="U462" s="507"/>
      <c r="V462" s="508"/>
      <c r="W462" s="509"/>
      <c r="X462" s="185"/>
      <c r="Y462" s="195"/>
      <c r="Z462" s="195"/>
      <c r="AA462" s="185"/>
      <c r="AB462" s="185"/>
      <c r="AC462" s="185"/>
      <c r="AD462" s="185"/>
      <c r="AE462" s="185"/>
      <c r="AF462" s="185"/>
    </row>
    <row r="463" spans="1:32">
      <c r="A463" s="185"/>
      <c r="B463" s="185"/>
      <c r="C463" s="193"/>
      <c r="D463" s="193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296"/>
      <c r="R463" s="185"/>
      <c r="S463" s="185"/>
      <c r="T463" s="194"/>
      <c r="U463" s="185"/>
      <c r="V463" s="185"/>
      <c r="W463" s="185"/>
      <c r="X463" s="185"/>
      <c r="Y463" s="195"/>
      <c r="Z463" s="195"/>
      <c r="AA463" s="185"/>
      <c r="AB463" s="185"/>
      <c r="AC463" s="185"/>
      <c r="AD463" s="185"/>
      <c r="AE463" s="185"/>
      <c r="AF463" s="185"/>
    </row>
    <row r="464" spans="1:32">
      <c r="A464" s="185"/>
      <c r="B464" s="185"/>
      <c r="C464" s="193"/>
      <c r="D464" s="193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296"/>
      <c r="R464" s="194"/>
      <c r="S464" s="194"/>
      <c r="T464" s="194"/>
      <c r="U464" s="185"/>
      <c r="V464" s="185"/>
      <c r="W464" s="185"/>
      <c r="X464" s="185"/>
      <c r="Y464" s="195"/>
      <c r="Z464" s="195"/>
      <c r="AA464" s="185"/>
      <c r="AB464" s="185"/>
      <c r="AC464" s="185"/>
      <c r="AD464" s="185"/>
      <c r="AE464" s="185"/>
      <c r="AF464" s="185"/>
    </row>
    <row r="465" spans="1:32">
      <c r="A465" s="185"/>
      <c r="B465" s="185"/>
      <c r="C465" s="193"/>
      <c r="D465" s="193"/>
      <c r="E465" s="185"/>
      <c r="F465" s="185"/>
      <c r="G465" s="185"/>
      <c r="H465" s="185"/>
      <c r="I465" s="185"/>
      <c r="J465" s="352" t="s">
        <v>80</v>
      </c>
      <c r="K465" s="185"/>
      <c r="L465" s="185"/>
      <c r="M465" s="185"/>
      <c r="N465" s="185"/>
      <c r="O465" s="185"/>
      <c r="P465" s="185"/>
      <c r="Q465" s="194"/>
      <c r="R465" s="194"/>
      <c r="S465" s="194"/>
      <c r="T465" s="194"/>
      <c r="U465" s="185"/>
      <c r="V465" s="185"/>
      <c r="W465" s="185"/>
      <c r="X465" s="185"/>
      <c r="Y465" s="195"/>
      <c r="Z465" s="195"/>
      <c r="AA465" s="185"/>
      <c r="AB465" s="185"/>
      <c r="AC465" s="185"/>
      <c r="AD465" s="185"/>
      <c r="AE465" s="185"/>
      <c r="AF465" s="185"/>
    </row>
    <row r="466" spans="1:32">
      <c r="A466" s="185"/>
      <c r="B466" s="185"/>
      <c r="C466" s="193"/>
      <c r="D466" s="193"/>
      <c r="E466" s="185"/>
      <c r="F466" s="185"/>
      <c r="G466" s="185"/>
      <c r="H466" s="185"/>
      <c r="I466" s="185"/>
      <c r="J466" s="352" t="s">
        <v>5</v>
      </c>
      <c r="K466" s="185"/>
      <c r="L466" s="185"/>
      <c r="M466" s="185"/>
      <c r="N466" s="185"/>
      <c r="O466" s="185"/>
      <c r="P466" s="185"/>
      <c r="Q466" s="194"/>
      <c r="R466" s="194"/>
      <c r="S466" s="194"/>
      <c r="T466" s="194"/>
      <c r="U466" s="185"/>
      <c r="V466" s="185"/>
      <c r="W466" s="185" t="s">
        <v>812</v>
      </c>
      <c r="X466" s="185"/>
      <c r="Y466" s="195"/>
      <c r="Z466" s="195"/>
      <c r="AA466" s="185"/>
      <c r="AB466" s="185"/>
      <c r="AC466" s="185"/>
      <c r="AD466" s="185"/>
      <c r="AE466" s="185"/>
      <c r="AF466" s="185"/>
    </row>
    <row r="467" spans="1:32">
      <c r="A467" s="185"/>
      <c r="B467" s="185"/>
      <c r="C467" s="193"/>
      <c r="D467" s="193"/>
      <c r="E467" s="185"/>
      <c r="F467" s="185"/>
      <c r="G467" s="194"/>
      <c r="H467" s="194"/>
      <c r="I467" s="185"/>
      <c r="J467" s="352" t="s">
        <v>3</v>
      </c>
      <c r="K467" s="194"/>
      <c r="L467" s="194"/>
      <c r="M467" s="194"/>
      <c r="N467" s="194"/>
      <c r="O467" s="194"/>
      <c r="P467" s="185"/>
      <c r="Q467" s="194"/>
      <c r="R467" s="194"/>
      <c r="S467" s="194"/>
      <c r="T467" s="194"/>
      <c r="U467" s="185"/>
      <c r="V467" s="185"/>
      <c r="W467" s="185"/>
      <c r="X467" s="185"/>
      <c r="Y467" s="195"/>
      <c r="Z467" s="195"/>
      <c r="AA467" s="185"/>
      <c r="AB467" s="185"/>
      <c r="AC467" s="185"/>
      <c r="AD467" s="185"/>
      <c r="AE467" s="185"/>
      <c r="AF467" s="185"/>
    </row>
    <row r="468" spans="1:32">
      <c r="A468" s="185"/>
      <c r="B468" s="185"/>
      <c r="C468" s="193"/>
      <c r="D468" s="193"/>
      <c r="E468" s="185"/>
      <c r="F468" s="185"/>
      <c r="G468" s="194"/>
      <c r="H468" s="194"/>
      <c r="I468" s="185"/>
      <c r="J468" s="352" t="s">
        <v>2</v>
      </c>
      <c r="K468" s="194"/>
      <c r="L468" s="194"/>
      <c r="M468" s="194"/>
      <c r="N468" s="194"/>
      <c r="O468" s="194"/>
      <c r="P468" s="185"/>
      <c r="Q468" s="194"/>
      <c r="R468" s="194"/>
      <c r="S468" s="194"/>
      <c r="T468" s="194"/>
      <c r="U468" s="185"/>
      <c r="V468" s="185"/>
      <c r="W468" s="185"/>
      <c r="X468" s="185"/>
      <c r="Y468" s="195"/>
      <c r="Z468" s="195"/>
      <c r="AA468" s="185"/>
      <c r="AB468" s="185"/>
      <c r="AC468" s="185"/>
      <c r="AD468" s="185"/>
      <c r="AE468" s="185"/>
      <c r="AF468" s="185"/>
    </row>
    <row r="469" spans="1:32">
      <c r="A469" s="185"/>
      <c r="B469" s="185"/>
      <c r="C469" s="193"/>
      <c r="D469" s="193"/>
      <c r="E469" s="185"/>
      <c r="F469" s="185"/>
      <c r="G469" s="194"/>
      <c r="H469" s="194"/>
      <c r="I469" s="185"/>
      <c r="J469" s="352" t="s">
        <v>7</v>
      </c>
      <c r="K469" s="194"/>
      <c r="L469" s="194"/>
      <c r="M469" s="194"/>
      <c r="N469" s="194"/>
      <c r="O469" s="194"/>
      <c r="P469" s="185"/>
      <c r="Q469" s="194"/>
      <c r="R469" s="194"/>
      <c r="S469" s="194"/>
      <c r="T469" s="194"/>
      <c r="U469" s="185"/>
      <c r="V469" s="185"/>
      <c r="W469" s="185"/>
      <c r="X469" s="185"/>
      <c r="Y469" s="195"/>
      <c r="Z469" s="195"/>
      <c r="AA469" s="185"/>
      <c r="AB469" s="185"/>
      <c r="AC469" s="185"/>
      <c r="AD469" s="185"/>
      <c r="AE469" s="185"/>
      <c r="AF469" s="185"/>
    </row>
    <row r="470" spans="1:32">
      <c r="A470" s="185"/>
      <c r="B470" s="185"/>
      <c r="C470" s="193"/>
      <c r="D470" s="193"/>
      <c r="E470" s="185"/>
      <c r="F470" s="185"/>
      <c r="G470" s="194"/>
      <c r="H470" s="194"/>
      <c r="I470" s="185"/>
      <c r="J470" s="352" t="s">
        <v>43</v>
      </c>
      <c r="K470" s="194"/>
      <c r="L470" s="194"/>
      <c r="M470" s="194"/>
      <c r="N470" s="194"/>
      <c r="O470" s="194"/>
      <c r="P470" s="185"/>
      <c r="Q470" s="194"/>
      <c r="R470" s="194"/>
      <c r="S470" s="194"/>
      <c r="T470" s="194"/>
      <c r="U470" s="185"/>
      <c r="V470" s="185"/>
      <c r="W470" s="185"/>
      <c r="X470" s="185"/>
      <c r="Y470" s="430"/>
      <c r="Z470" s="195"/>
      <c r="AA470" s="185"/>
      <c r="AB470" s="185"/>
      <c r="AC470" s="185"/>
      <c r="AD470" s="185"/>
      <c r="AE470" s="185"/>
      <c r="AF470" s="185"/>
    </row>
    <row r="471" spans="1:32">
      <c r="A471" s="185"/>
      <c r="B471" s="185"/>
      <c r="C471" s="193"/>
      <c r="D471" s="193"/>
      <c r="E471" s="185"/>
      <c r="F471" s="602"/>
      <c r="G471" s="194"/>
      <c r="H471" s="194"/>
      <c r="I471" s="245"/>
      <c r="J471" s="352"/>
      <c r="K471" s="194"/>
      <c r="L471" s="194"/>
      <c r="M471" s="194"/>
      <c r="N471" s="194"/>
      <c r="O471" s="194"/>
      <c r="P471" s="185"/>
      <c r="Q471" s="194"/>
      <c r="R471" s="194"/>
      <c r="S471" s="194"/>
      <c r="T471" s="194"/>
      <c r="U471" s="185"/>
      <c r="V471" s="185"/>
      <c r="W471" s="185"/>
      <c r="X471" s="185"/>
      <c r="Y471" s="195"/>
      <c r="Z471" s="195"/>
      <c r="AA471" s="185"/>
      <c r="AB471" s="185"/>
      <c r="AC471" s="185"/>
      <c r="AD471" s="185"/>
      <c r="AE471" s="185"/>
      <c r="AF471" s="185"/>
    </row>
    <row r="472" spans="1:32">
      <c r="A472" s="185"/>
      <c r="B472" s="185"/>
      <c r="C472" s="193"/>
      <c r="D472" s="193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  <c r="Q472" s="194"/>
      <c r="R472" s="194"/>
      <c r="S472" s="194"/>
      <c r="T472" s="194"/>
      <c r="U472" s="185"/>
      <c r="V472" s="185"/>
      <c r="W472" s="185"/>
      <c r="X472" s="185"/>
      <c r="Y472" s="195"/>
      <c r="Z472" s="195"/>
      <c r="AA472" s="185"/>
      <c r="AB472" s="185"/>
      <c r="AC472" s="185"/>
      <c r="AD472" s="185"/>
      <c r="AE472" s="185"/>
      <c r="AF472" s="185"/>
    </row>
    <row r="473" spans="1:32">
      <c r="A473" s="185"/>
      <c r="B473" s="185"/>
      <c r="C473" s="193"/>
      <c r="D473" s="193"/>
      <c r="E473" s="185"/>
      <c r="F473" s="185"/>
      <c r="G473" s="246"/>
      <c r="H473" s="246"/>
      <c r="I473" s="185"/>
      <c r="J473" s="246"/>
      <c r="K473" s="246"/>
      <c r="L473" s="246"/>
      <c r="M473" s="246"/>
      <c r="N473" s="246"/>
      <c r="O473" s="246"/>
      <c r="P473" s="185"/>
      <c r="Q473" s="194"/>
      <c r="R473" s="194"/>
      <c r="S473" s="194"/>
      <c r="T473" s="194"/>
      <c r="U473" s="185"/>
      <c r="V473" s="185"/>
      <c r="W473" s="185"/>
      <c r="X473" s="185"/>
      <c r="Y473" s="195"/>
      <c r="Z473" s="195"/>
      <c r="AA473" s="185"/>
      <c r="AB473" s="185"/>
      <c r="AC473" s="185"/>
      <c r="AD473" s="185"/>
      <c r="AE473" s="185"/>
      <c r="AF473" s="185"/>
    </row>
    <row r="474" spans="1:32">
      <c r="A474" s="185"/>
      <c r="B474" s="185"/>
      <c r="C474" s="193"/>
      <c r="D474" s="193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94"/>
      <c r="R474" s="194"/>
      <c r="S474" s="194"/>
      <c r="T474" s="194"/>
      <c r="U474" s="185"/>
      <c r="V474" s="185"/>
      <c r="W474" s="185"/>
      <c r="X474" s="185"/>
      <c r="Y474" s="195"/>
      <c r="Z474" s="195"/>
      <c r="AA474" s="185"/>
      <c r="AB474" s="185"/>
      <c r="AC474" s="185"/>
      <c r="AD474" s="185"/>
      <c r="AE474" s="185"/>
      <c r="AF474" s="185"/>
    </row>
    <row r="475" spans="1:32">
      <c r="A475" s="185"/>
      <c r="B475" s="185"/>
      <c r="C475" s="193"/>
      <c r="D475" s="193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94"/>
      <c r="R475" s="194"/>
      <c r="S475" s="194"/>
      <c r="T475" s="194"/>
      <c r="U475" s="185"/>
      <c r="V475" s="185"/>
      <c r="W475" s="185"/>
      <c r="X475" s="185"/>
      <c r="Y475" s="195"/>
      <c r="Z475" s="195"/>
      <c r="AA475" s="185"/>
      <c r="AB475" s="185"/>
      <c r="AC475" s="185"/>
      <c r="AD475" s="185"/>
      <c r="AE475" s="185"/>
      <c r="AF475" s="185"/>
    </row>
    <row r="476" spans="1:32">
      <c r="A476" s="185"/>
      <c r="B476" s="185"/>
      <c r="C476" s="193"/>
      <c r="D476" s="193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94"/>
      <c r="R476" s="194"/>
      <c r="S476" s="194"/>
      <c r="T476" s="194"/>
      <c r="U476" s="185"/>
      <c r="V476" s="185"/>
      <c r="W476" s="185"/>
      <c r="X476" s="185"/>
      <c r="Y476" s="195"/>
      <c r="Z476" s="195"/>
      <c r="AA476" s="185"/>
      <c r="AB476" s="185"/>
      <c r="AC476" s="185"/>
      <c r="AD476" s="185"/>
      <c r="AE476" s="185"/>
      <c r="AF476" s="185"/>
    </row>
    <row r="477" spans="1:32">
      <c r="A477" s="185"/>
      <c r="B477" s="185"/>
      <c r="C477" s="193"/>
      <c r="D477" s="193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94"/>
      <c r="R477" s="194"/>
      <c r="S477" s="194"/>
      <c r="T477" s="194"/>
      <c r="U477" s="185"/>
      <c r="V477" s="185"/>
      <c r="W477" s="185"/>
      <c r="X477" s="185"/>
      <c r="Y477" s="195"/>
      <c r="Z477" s="195"/>
      <c r="AA477" s="185"/>
      <c r="AB477" s="185"/>
      <c r="AC477" s="185"/>
      <c r="AD477" s="185"/>
      <c r="AE477" s="185"/>
      <c r="AF477" s="185"/>
    </row>
    <row r="478" spans="1:32">
      <c r="A478" s="185"/>
      <c r="B478" s="185"/>
      <c r="C478" s="193"/>
      <c r="D478" s="193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94"/>
      <c r="R478" s="194"/>
      <c r="S478" s="194"/>
      <c r="T478" s="194"/>
      <c r="U478" s="185"/>
      <c r="V478" s="185"/>
      <c r="W478" s="185"/>
      <c r="X478" s="185"/>
      <c r="Y478" s="195"/>
      <c r="Z478" s="195"/>
      <c r="AA478" s="185"/>
      <c r="AB478" s="185"/>
      <c r="AC478" s="185"/>
      <c r="AD478" s="185"/>
      <c r="AE478" s="185"/>
      <c r="AF478" s="185"/>
    </row>
    <row r="481" spans="18:26">
      <c r="Z481" s="428"/>
    </row>
    <row r="482" spans="18:26">
      <c r="Z482" s="428"/>
    </row>
    <row r="484" spans="18:26">
      <c r="R484" s="334"/>
    </row>
    <row r="485" spans="18:26">
      <c r="R485" s="334"/>
    </row>
    <row r="486" spans="18:26">
      <c r="R486" s="334"/>
    </row>
    <row r="487" spans="18:26">
      <c r="R487" s="334"/>
      <c r="S487" s="335"/>
    </row>
    <row r="488" spans="18:26">
      <c r="R488" s="334"/>
    </row>
  </sheetData>
  <autoFilter ref="A8:AA462" xr:uid="{6DAAE3AA-2228-4A18-81CF-26C6D91E8B8B}">
    <sortState xmlns:xlrd2="http://schemas.microsoft.com/office/spreadsheetml/2017/richdata2" ref="A44:AA462">
      <sortCondition ref="D8:D462"/>
    </sortState>
  </autoFilter>
  <phoneticPr fontId="16" type="noConversion"/>
  <conditionalFormatting sqref="A9:X427 G428:X428 A429:X454 P3:R6 A428:E428">
    <cfRule type="expression" dxfId="31" priority="29">
      <formula>MOD(ROW(),2)=0</formula>
    </cfRule>
  </conditionalFormatting>
  <conditionalFormatting sqref="M40">
    <cfRule type="containsText" dxfId="30" priority="19" operator="containsText" text="Ordre">
      <formula>NOT(ISERROR(SEARCH("Ordre",M40)))</formula>
    </cfRule>
  </conditionalFormatting>
  <conditionalFormatting sqref="P9:P454 K266">
    <cfRule type="containsText" dxfId="29" priority="5" operator="containsText" text="Ferdig">
      <formula>NOT(ISERROR(SEARCH("Ferdig",K9)))</formula>
    </cfRule>
    <cfRule type="containsText" dxfId="28" priority="6" operator="containsText" text="Tapt">
      <formula>NOT(ISERROR(SEARCH("Tapt",K9)))</formula>
    </cfRule>
    <cfRule type="containsText" dxfId="27" priority="8" operator="containsText" text="Ordre">
      <formula>NOT(ISERROR(SEARCH("Ordre",K9)))</formula>
    </cfRule>
  </conditionalFormatting>
  <conditionalFormatting sqref="T3:V6">
    <cfRule type="expression" dxfId="26" priority="1">
      <formula>MOD(ROW(),2)=0</formula>
    </cfRule>
  </conditionalFormatting>
  <conditionalFormatting sqref="U9:U454 P266">
    <cfRule type="cellIs" dxfId="25" priority="7" operator="lessThanOrEqual">
      <formula>$D$1</formula>
    </cfRule>
  </conditionalFormatting>
  <conditionalFormatting sqref="X6">
    <cfRule type="expression" dxfId="24" priority="3">
      <formula>MOD(ROW(),2)=0</formula>
    </cfRule>
  </conditionalFormatting>
  <dataValidations count="1">
    <dataValidation type="list" allowBlank="1" showInputMessage="1" showErrorMessage="1" sqref="K266 P9:P454" xr:uid="{B629839A-BC90-4913-9149-708D01366870}">
      <formula1>$J$465:$J$470</formula1>
    </dataValidation>
  </dataValidations>
  <pageMargins left="0.7" right="0.7" top="0.75" bottom="0.75" header="0.3" footer="0.3"/>
  <pageSetup paperSize="8" scale="23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ACF1-86EF-4756-99A5-DC715E555595}">
  <sheetPr>
    <tabColor rgb="FFFF6161"/>
  </sheetPr>
  <dimension ref="B3:AD121"/>
  <sheetViews>
    <sheetView workbookViewId="0">
      <pane ySplit="7" topLeftCell="A102" activePane="bottomLeft" state="frozen"/>
      <selection pane="bottomLeft" activeCell="AE25" sqref="AE25"/>
    </sheetView>
  </sheetViews>
  <sheetFormatPr baseColWidth="10" defaultColWidth="11.5" defaultRowHeight="15"/>
  <sheetData>
    <row r="3" spans="2:28">
      <c r="C3" t="s">
        <v>813</v>
      </c>
    </row>
    <row r="7" spans="2:28">
      <c r="C7" s="538" t="s">
        <v>814</v>
      </c>
      <c r="G7" s="538" t="s">
        <v>815</v>
      </c>
      <c r="I7" s="538" t="s">
        <v>816</v>
      </c>
      <c r="L7" s="538" t="s">
        <v>817</v>
      </c>
      <c r="N7" s="538"/>
      <c r="O7" s="538" t="s">
        <v>818</v>
      </c>
      <c r="Q7" s="538"/>
      <c r="S7" s="538" t="s">
        <v>819</v>
      </c>
      <c r="U7" s="538" t="s">
        <v>820</v>
      </c>
      <c r="V7" s="538"/>
      <c r="X7" s="538" t="s">
        <v>821</v>
      </c>
      <c r="Z7" s="538" t="s">
        <v>822</v>
      </c>
      <c r="AB7" s="538" t="s">
        <v>28</v>
      </c>
    </row>
    <row r="10" spans="2:28">
      <c r="C10" s="539" t="s">
        <v>823</v>
      </c>
      <c r="G10" s="540" t="s">
        <v>824</v>
      </c>
      <c r="I10" s="541">
        <v>42619</v>
      </c>
      <c r="L10" s="452" t="s">
        <v>825</v>
      </c>
      <c r="O10" s="539" t="s">
        <v>826</v>
      </c>
      <c r="S10" s="542" t="s">
        <v>827</v>
      </c>
      <c r="U10" s="543"/>
      <c r="X10" t="s">
        <v>828</v>
      </c>
      <c r="Z10" s="544">
        <v>7800</v>
      </c>
      <c r="AB10" s="588" t="s">
        <v>829</v>
      </c>
    </row>
    <row r="11" spans="2:28">
      <c r="Z11" s="390"/>
    </row>
    <row r="12" spans="2:28">
      <c r="Z12" s="390"/>
    </row>
    <row r="13" spans="2:28">
      <c r="C13" s="539" t="s">
        <v>830</v>
      </c>
      <c r="G13" s="546" t="s">
        <v>831</v>
      </c>
      <c r="I13" s="541">
        <v>43052</v>
      </c>
      <c r="L13" s="452" t="s">
        <v>832</v>
      </c>
      <c r="O13" s="539" t="s">
        <v>833</v>
      </c>
      <c r="S13" s="542" t="s">
        <v>834</v>
      </c>
      <c r="U13" s="547"/>
      <c r="X13" t="s">
        <v>835</v>
      </c>
      <c r="Z13" s="544">
        <v>10900</v>
      </c>
      <c r="AB13" s="588" t="s">
        <v>829</v>
      </c>
    </row>
    <row r="14" spans="2:28">
      <c r="G14" s="546" t="s">
        <v>836</v>
      </c>
      <c r="Z14" s="390"/>
    </row>
    <row r="15" spans="2:28">
      <c r="Z15" s="390"/>
    </row>
    <row r="16" spans="2:28">
      <c r="B16" t="s">
        <v>837</v>
      </c>
      <c r="C16" s="545" t="s">
        <v>838</v>
      </c>
      <c r="G16" s="546" t="s">
        <v>839</v>
      </c>
      <c r="I16" s="541">
        <v>43372</v>
      </c>
      <c r="L16" s="452" t="s">
        <v>840</v>
      </c>
      <c r="O16" s="539" t="s">
        <v>841</v>
      </c>
      <c r="S16" s="542" t="s">
        <v>842</v>
      </c>
      <c r="U16" s="547"/>
      <c r="X16" t="s">
        <v>835</v>
      </c>
      <c r="Z16" s="544">
        <v>5339</v>
      </c>
      <c r="AB16" t="s">
        <v>843</v>
      </c>
    </row>
    <row r="17" spans="2:28">
      <c r="Z17" s="390"/>
    </row>
    <row r="18" spans="2:28">
      <c r="Z18" s="548"/>
    </row>
    <row r="19" spans="2:28">
      <c r="C19" s="539" t="s">
        <v>844</v>
      </c>
      <c r="G19" s="546" t="s">
        <v>845</v>
      </c>
      <c r="I19" s="541">
        <v>42909</v>
      </c>
      <c r="L19" s="452" t="s">
        <v>846</v>
      </c>
      <c r="O19" s="539" t="s">
        <v>847</v>
      </c>
      <c r="S19" s="542" t="s">
        <v>848</v>
      </c>
      <c r="U19" s="547"/>
      <c r="X19" t="s">
        <v>835</v>
      </c>
      <c r="Z19" s="544">
        <v>10132</v>
      </c>
      <c r="AB19" s="588" t="s">
        <v>829</v>
      </c>
    </row>
    <row r="20" spans="2:28">
      <c r="Z20" s="390"/>
    </row>
    <row r="21" spans="2:28">
      <c r="Z21" s="390"/>
    </row>
    <row r="22" spans="2:28">
      <c r="C22" s="539" t="s">
        <v>849</v>
      </c>
      <c r="G22" s="546" t="s">
        <v>850</v>
      </c>
      <c r="I22" s="541">
        <v>42703</v>
      </c>
      <c r="L22" s="452" t="s">
        <v>851</v>
      </c>
      <c r="O22" s="539" t="s">
        <v>852</v>
      </c>
      <c r="S22" s="542" t="s">
        <v>853</v>
      </c>
      <c r="U22" s="547"/>
      <c r="X22" t="s">
        <v>854</v>
      </c>
      <c r="Z22" s="544">
        <v>7800</v>
      </c>
      <c r="AB22" s="588" t="s">
        <v>829</v>
      </c>
    </row>
    <row r="23" spans="2:28">
      <c r="G23" s="546" t="s">
        <v>855</v>
      </c>
      <c r="Z23" s="390"/>
    </row>
    <row r="24" spans="2:28">
      <c r="Z24" s="390"/>
    </row>
    <row r="25" spans="2:28">
      <c r="B25" t="s">
        <v>837</v>
      </c>
      <c r="C25" s="545" t="s">
        <v>856</v>
      </c>
      <c r="G25" s="546" t="s">
        <v>857</v>
      </c>
      <c r="I25" s="541">
        <v>42674</v>
      </c>
      <c r="L25" s="452" t="s">
        <v>858</v>
      </c>
      <c r="O25" s="539" t="s">
        <v>859</v>
      </c>
      <c r="S25" s="542" t="s">
        <v>860</v>
      </c>
      <c r="U25" s="547"/>
      <c r="X25" t="s">
        <v>854</v>
      </c>
      <c r="Z25" s="544">
        <v>12800</v>
      </c>
      <c r="AB25" t="s">
        <v>843</v>
      </c>
    </row>
    <row r="28" spans="2:28">
      <c r="C28" s="539" t="s">
        <v>861</v>
      </c>
      <c r="G28" s="546" t="s">
        <v>862</v>
      </c>
      <c r="I28" s="541">
        <v>43039</v>
      </c>
      <c r="L28" s="452" t="s">
        <v>863</v>
      </c>
      <c r="O28" s="539" t="s">
        <v>864</v>
      </c>
      <c r="S28" s="542" t="s">
        <v>865</v>
      </c>
      <c r="U28" s="547"/>
      <c r="W28" t="s">
        <v>866</v>
      </c>
      <c r="X28" t="s">
        <v>155</v>
      </c>
      <c r="Z28" s="544">
        <v>12800</v>
      </c>
      <c r="AB28" s="588" t="s">
        <v>829</v>
      </c>
    </row>
    <row r="31" spans="2:28">
      <c r="B31" t="s">
        <v>837</v>
      </c>
      <c r="C31" s="545" t="s">
        <v>867</v>
      </c>
      <c r="G31" s="546" t="s">
        <v>868</v>
      </c>
      <c r="I31" s="541">
        <v>43271</v>
      </c>
      <c r="L31" s="452" t="s">
        <v>869</v>
      </c>
      <c r="O31" s="539" t="s">
        <v>870</v>
      </c>
      <c r="S31" s="542" t="s">
        <v>871</v>
      </c>
      <c r="U31" s="547"/>
      <c r="X31" t="s">
        <v>835</v>
      </c>
      <c r="Z31" s="544">
        <v>12155</v>
      </c>
      <c r="AB31" t="s">
        <v>843</v>
      </c>
    </row>
    <row r="34" spans="2:28">
      <c r="C34" t="s">
        <v>872</v>
      </c>
      <c r="G34" s="546" t="s">
        <v>873</v>
      </c>
      <c r="I34" s="541">
        <v>43132</v>
      </c>
      <c r="L34" s="452" t="s">
        <v>874</v>
      </c>
      <c r="O34" s="539" t="s">
        <v>875</v>
      </c>
      <c r="S34" s="542" t="s">
        <v>876</v>
      </c>
      <c r="U34" s="547"/>
      <c r="X34" t="s">
        <v>835</v>
      </c>
      <c r="Z34" s="544">
        <v>4800</v>
      </c>
      <c r="AB34" s="588" t="s">
        <v>829</v>
      </c>
    </row>
    <row r="35" spans="2:28">
      <c r="G35" s="549" t="s">
        <v>877</v>
      </c>
    </row>
    <row r="37" spans="2:28">
      <c r="B37" t="s">
        <v>837</v>
      </c>
      <c r="C37" s="545" t="s">
        <v>878</v>
      </c>
      <c r="G37" s="546" t="s">
        <v>879</v>
      </c>
      <c r="I37" s="541">
        <v>42885</v>
      </c>
      <c r="L37" s="452" t="s">
        <v>880</v>
      </c>
      <c r="O37" s="539" t="s">
        <v>881</v>
      </c>
      <c r="S37" s="542" t="s">
        <v>882</v>
      </c>
      <c r="U37" s="547"/>
      <c r="X37" t="s">
        <v>835</v>
      </c>
      <c r="Z37" s="544">
        <v>83256</v>
      </c>
      <c r="AB37" t="s">
        <v>843</v>
      </c>
    </row>
    <row r="40" spans="2:28">
      <c r="C40" s="539" t="s">
        <v>883</v>
      </c>
      <c r="G40" s="546" t="s">
        <v>884</v>
      </c>
      <c r="I40" s="541">
        <v>43364</v>
      </c>
      <c r="L40" s="452" t="s">
        <v>885</v>
      </c>
      <c r="O40" s="539" t="s">
        <v>886</v>
      </c>
      <c r="S40" s="542" t="s">
        <v>887</v>
      </c>
      <c r="U40" s="547"/>
      <c r="X40" t="s">
        <v>155</v>
      </c>
      <c r="Z40" s="544">
        <v>7800</v>
      </c>
      <c r="AB40" s="588" t="s">
        <v>829</v>
      </c>
    </row>
    <row r="43" spans="2:28">
      <c r="C43" s="545" t="s">
        <v>888</v>
      </c>
      <c r="G43" s="546" t="s">
        <v>889</v>
      </c>
      <c r="I43" s="541">
        <v>42663</v>
      </c>
      <c r="L43" s="452" t="s">
        <v>890</v>
      </c>
      <c r="O43" s="539" t="s">
        <v>891</v>
      </c>
      <c r="S43" s="542" t="s">
        <v>892</v>
      </c>
      <c r="U43" s="547"/>
      <c r="X43" t="s">
        <v>828</v>
      </c>
      <c r="Z43" s="544">
        <v>12800</v>
      </c>
      <c r="AB43" s="554" t="s">
        <v>829</v>
      </c>
    </row>
    <row r="46" spans="2:28">
      <c r="C46" s="539" t="s">
        <v>893</v>
      </c>
      <c r="G46" s="546" t="s">
        <v>894</v>
      </c>
      <c r="I46" s="541">
        <v>38492</v>
      </c>
      <c r="L46" s="452" t="s">
        <v>895</v>
      </c>
      <c r="O46" s="539" t="s">
        <v>896</v>
      </c>
      <c r="S46" s="542" t="s">
        <v>897</v>
      </c>
      <c r="U46" s="547"/>
      <c r="X46" t="s">
        <v>835</v>
      </c>
      <c r="Z46" s="544">
        <v>13800</v>
      </c>
      <c r="AB46" s="588" t="s">
        <v>829</v>
      </c>
    </row>
    <row r="49" spans="3:28">
      <c r="C49" s="539" t="s">
        <v>898</v>
      </c>
      <c r="G49" s="546" t="s">
        <v>899</v>
      </c>
      <c r="I49" s="541">
        <v>44713</v>
      </c>
      <c r="L49" s="452" t="s">
        <v>900</v>
      </c>
      <c r="O49" s="539" t="s">
        <v>901</v>
      </c>
      <c r="S49" s="542" t="s">
        <v>902</v>
      </c>
      <c r="U49" s="547"/>
      <c r="X49" t="s">
        <v>155</v>
      </c>
      <c r="Z49" s="544">
        <v>10800</v>
      </c>
      <c r="AB49" s="588" t="s">
        <v>829</v>
      </c>
    </row>
    <row r="52" spans="3:28">
      <c r="C52" s="539" t="s">
        <v>903</v>
      </c>
      <c r="G52" s="546" t="s">
        <v>904</v>
      </c>
      <c r="I52" t="s">
        <v>905</v>
      </c>
      <c r="L52" s="452" t="s">
        <v>906</v>
      </c>
      <c r="O52" s="539" t="s">
        <v>907</v>
      </c>
      <c r="S52" s="542" t="s">
        <v>908</v>
      </c>
      <c r="U52" s="547"/>
      <c r="X52" t="s">
        <v>835</v>
      </c>
      <c r="Z52" s="544">
        <v>14800</v>
      </c>
      <c r="AB52" s="554" t="s">
        <v>829</v>
      </c>
    </row>
    <row r="55" spans="3:28">
      <c r="C55" s="539" t="s">
        <v>909</v>
      </c>
      <c r="G55" s="546" t="s">
        <v>910</v>
      </c>
      <c r="I55" s="541">
        <v>44774</v>
      </c>
      <c r="L55" s="452" t="s">
        <v>911</v>
      </c>
      <c r="O55" s="539" t="s">
        <v>912</v>
      </c>
      <c r="S55" s="542" t="s">
        <v>913</v>
      </c>
      <c r="U55" s="547" t="s">
        <v>914</v>
      </c>
      <c r="V55">
        <v>2026</v>
      </c>
      <c r="X55" t="s">
        <v>835</v>
      </c>
      <c r="Z55" s="544">
        <v>12800</v>
      </c>
      <c r="AB55" t="s">
        <v>843</v>
      </c>
    </row>
    <row r="58" spans="3:28">
      <c r="C58" s="539" t="s">
        <v>915</v>
      </c>
      <c r="G58" s="546" t="s">
        <v>915</v>
      </c>
      <c r="I58" s="541">
        <v>44789</v>
      </c>
      <c r="L58" s="452" t="s">
        <v>916</v>
      </c>
      <c r="O58" s="539" t="s">
        <v>917</v>
      </c>
      <c r="S58" s="542" t="s">
        <v>918</v>
      </c>
      <c r="U58" s="547" t="s">
        <v>919</v>
      </c>
      <c r="X58" t="s">
        <v>835</v>
      </c>
      <c r="Z58" s="544">
        <v>12800</v>
      </c>
      <c r="AB58" s="588" t="s">
        <v>829</v>
      </c>
    </row>
    <row r="61" spans="3:28">
      <c r="C61" s="539" t="s">
        <v>920</v>
      </c>
      <c r="G61" s="546" t="s">
        <v>921</v>
      </c>
      <c r="I61" s="541">
        <v>44844</v>
      </c>
      <c r="L61" s="452" t="s">
        <v>922</v>
      </c>
      <c r="O61" s="573" t="s">
        <v>923</v>
      </c>
      <c r="S61" s="542">
        <v>99085638</v>
      </c>
      <c r="U61" s="547"/>
      <c r="X61" t="s">
        <v>155</v>
      </c>
      <c r="Z61" s="544">
        <v>10800</v>
      </c>
      <c r="AB61" s="588" t="s">
        <v>829</v>
      </c>
    </row>
    <row r="63" spans="3:28">
      <c r="O63" s="539"/>
    </row>
    <row r="64" spans="3:28">
      <c r="C64" s="539" t="s">
        <v>924</v>
      </c>
      <c r="G64" s="546" t="s">
        <v>924</v>
      </c>
      <c r="I64" s="541">
        <v>45944</v>
      </c>
      <c r="L64" s="452" t="s">
        <v>925</v>
      </c>
      <c r="O64" s="539" t="s">
        <v>926</v>
      </c>
      <c r="S64" s="542" t="s">
        <v>927</v>
      </c>
      <c r="U64" s="547"/>
      <c r="X64" t="s">
        <v>155</v>
      </c>
      <c r="Z64" s="544">
        <v>14800</v>
      </c>
      <c r="AB64" s="588" t="s">
        <v>829</v>
      </c>
    </row>
    <row r="67" spans="3:28">
      <c r="C67" s="539" t="s">
        <v>928</v>
      </c>
      <c r="G67" s="546" t="s">
        <v>928</v>
      </c>
      <c r="I67" s="541">
        <v>45058</v>
      </c>
      <c r="L67" s="452" t="s">
        <v>929</v>
      </c>
      <c r="O67" s="539" t="s">
        <v>930</v>
      </c>
      <c r="S67" s="542" t="s">
        <v>931</v>
      </c>
      <c r="U67" s="547"/>
      <c r="X67" t="s">
        <v>835</v>
      </c>
      <c r="Z67" s="544">
        <v>14560</v>
      </c>
      <c r="AB67" s="574" t="s">
        <v>829</v>
      </c>
    </row>
    <row r="68" spans="3:28">
      <c r="O68" t="s">
        <v>932</v>
      </c>
      <c r="S68" t="s">
        <v>933</v>
      </c>
    </row>
    <row r="70" spans="3:28">
      <c r="C70" s="545" t="s">
        <v>934</v>
      </c>
      <c r="G70" s="546" t="s">
        <v>934</v>
      </c>
      <c r="I70" s="541">
        <v>45086</v>
      </c>
      <c r="L70" s="452" t="s">
        <v>935</v>
      </c>
      <c r="O70" s="539" t="s">
        <v>936</v>
      </c>
      <c r="S70" s="542" t="s">
        <v>937</v>
      </c>
      <c r="U70" s="547"/>
      <c r="X70" t="s">
        <v>835</v>
      </c>
      <c r="Z70" s="544">
        <v>12800</v>
      </c>
      <c r="AB70" s="574" t="s">
        <v>829</v>
      </c>
    </row>
    <row r="73" spans="3:28">
      <c r="C73" s="545" t="s">
        <v>938</v>
      </c>
      <c r="G73" s="546" t="s">
        <v>939</v>
      </c>
      <c r="I73" t="s">
        <v>940</v>
      </c>
      <c r="L73" s="452" t="s">
        <v>941</v>
      </c>
      <c r="O73" s="539" t="s">
        <v>942</v>
      </c>
      <c r="S73" s="542" t="s">
        <v>943</v>
      </c>
      <c r="U73" s="547"/>
      <c r="X73" t="s">
        <v>155</v>
      </c>
      <c r="Z73" s="544">
        <v>14800</v>
      </c>
      <c r="AB73" s="588" t="s">
        <v>829</v>
      </c>
    </row>
    <row r="76" spans="3:28">
      <c r="C76" s="539" t="s">
        <v>944</v>
      </c>
      <c r="G76" s="546" t="s">
        <v>945</v>
      </c>
      <c r="I76" s="541">
        <v>45197</v>
      </c>
      <c r="L76" s="452" t="s">
        <v>946</v>
      </c>
      <c r="O76" s="539" t="s">
        <v>947</v>
      </c>
      <c r="S76" s="542" t="s">
        <v>948</v>
      </c>
      <c r="U76" s="547" t="s">
        <v>949</v>
      </c>
      <c r="X76" t="s">
        <v>155</v>
      </c>
      <c r="Z76" s="544">
        <v>11800</v>
      </c>
      <c r="AB76" t="s">
        <v>843</v>
      </c>
    </row>
    <row r="79" spans="3:28">
      <c r="C79" s="539" t="s">
        <v>950</v>
      </c>
      <c r="G79" s="546" t="s">
        <v>951</v>
      </c>
      <c r="I79" s="541">
        <v>45516</v>
      </c>
      <c r="L79" s="452" t="s">
        <v>952</v>
      </c>
      <c r="O79" s="539" t="s">
        <v>953</v>
      </c>
      <c r="S79" s="542" t="s">
        <v>954</v>
      </c>
      <c r="U79" s="547"/>
      <c r="X79" t="s">
        <v>955</v>
      </c>
      <c r="Z79" s="544">
        <v>8289</v>
      </c>
      <c r="AB79" s="554" t="s">
        <v>829</v>
      </c>
    </row>
    <row r="82" spans="2:30">
      <c r="C82" s="539" t="s">
        <v>956</v>
      </c>
      <c r="G82" s="546" t="s">
        <v>957</v>
      </c>
      <c r="I82" s="541">
        <v>45552</v>
      </c>
      <c r="L82" s="452" t="s">
        <v>958</v>
      </c>
      <c r="O82" s="539" t="s">
        <v>959</v>
      </c>
      <c r="S82" s="542" t="s">
        <v>960</v>
      </c>
      <c r="U82" s="547"/>
      <c r="X82" t="s">
        <v>835</v>
      </c>
      <c r="Z82" s="544">
        <v>13800</v>
      </c>
      <c r="AB82" s="574" t="s">
        <v>829</v>
      </c>
    </row>
    <row r="85" spans="2:30">
      <c r="C85" s="539" t="s">
        <v>961</v>
      </c>
      <c r="G85" s="546" t="s">
        <v>962</v>
      </c>
      <c r="I85" s="541">
        <v>45146</v>
      </c>
      <c r="L85" s="452" t="s">
        <v>963</v>
      </c>
      <c r="O85" s="539" t="s">
        <v>964</v>
      </c>
      <c r="S85" s="542" t="s">
        <v>965</v>
      </c>
      <c r="U85" s="547"/>
      <c r="X85" t="s">
        <v>155</v>
      </c>
      <c r="Z85" s="544">
        <v>14800</v>
      </c>
      <c r="AB85" s="588" t="s">
        <v>829</v>
      </c>
      <c r="AD85" t="s">
        <v>966</v>
      </c>
    </row>
    <row r="88" spans="2:30">
      <c r="B88" t="s">
        <v>837</v>
      </c>
      <c r="C88" s="545" t="s">
        <v>967</v>
      </c>
      <c r="G88" s="546" t="s">
        <v>968</v>
      </c>
      <c r="I88" s="541">
        <v>45205</v>
      </c>
      <c r="L88" s="452" t="s">
        <v>969</v>
      </c>
      <c r="O88" s="539" t="s">
        <v>970</v>
      </c>
      <c r="S88" s="542" t="s">
        <v>971</v>
      </c>
      <c r="U88" s="547"/>
      <c r="X88" t="s">
        <v>835</v>
      </c>
      <c r="Z88" s="544">
        <v>37800</v>
      </c>
      <c r="AB88" t="s">
        <v>843</v>
      </c>
    </row>
    <row r="91" spans="2:30">
      <c r="B91" t="s">
        <v>837</v>
      </c>
      <c r="C91" s="545" t="s">
        <v>972</v>
      </c>
      <c r="G91" s="546" t="s">
        <v>973</v>
      </c>
      <c r="I91" s="541">
        <v>45489</v>
      </c>
      <c r="L91" s="452" t="s">
        <v>974</v>
      </c>
      <c r="O91" s="539" t="s">
        <v>975</v>
      </c>
      <c r="S91" s="542" t="s">
        <v>976</v>
      </c>
      <c r="U91" s="547"/>
      <c r="X91" t="s">
        <v>835</v>
      </c>
      <c r="Z91" s="544">
        <v>23800</v>
      </c>
      <c r="AB91" t="s">
        <v>843</v>
      </c>
    </row>
    <row r="94" spans="2:30">
      <c r="C94" s="539" t="s">
        <v>977</v>
      </c>
      <c r="G94" s="546" t="s">
        <v>978</v>
      </c>
      <c r="I94" s="541">
        <v>45189</v>
      </c>
      <c r="L94" s="452" t="s">
        <v>979</v>
      </c>
      <c r="O94" s="539" t="s">
        <v>980</v>
      </c>
      <c r="S94" s="542" t="s">
        <v>981</v>
      </c>
      <c r="U94" s="547"/>
      <c r="X94" t="s">
        <v>155</v>
      </c>
      <c r="Z94" s="544">
        <v>12800</v>
      </c>
      <c r="AB94" s="574" t="s">
        <v>829</v>
      </c>
    </row>
    <row r="97" spans="3:30">
      <c r="C97" s="539" t="s">
        <v>982</v>
      </c>
      <c r="G97" s="546" t="s">
        <v>983</v>
      </c>
      <c r="H97" s="546" t="s">
        <v>984</v>
      </c>
      <c r="I97" s="541">
        <v>45224</v>
      </c>
      <c r="L97" s="452" t="s">
        <v>985</v>
      </c>
      <c r="O97" s="539" t="s">
        <v>986</v>
      </c>
      <c r="S97" s="542" t="s">
        <v>987</v>
      </c>
      <c r="U97" s="547"/>
      <c r="X97" t="s">
        <v>155</v>
      </c>
      <c r="Z97" s="544">
        <v>10800</v>
      </c>
      <c r="AB97" s="588" t="s">
        <v>829</v>
      </c>
    </row>
    <row r="100" spans="3:30">
      <c r="C100" s="539" t="s">
        <v>988</v>
      </c>
      <c r="G100" s="546" t="s">
        <v>989</v>
      </c>
      <c r="I100" s="541">
        <v>45470</v>
      </c>
      <c r="L100" s="452" t="s">
        <v>990</v>
      </c>
      <c r="O100" s="539" t="s">
        <v>991</v>
      </c>
      <c r="S100" s="542" t="s">
        <v>992</v>
      </c>
      <c r="U100" s="547"/>
      <c r="X100" t="s">
        <v>835</v>
      </c>
      <c r="Z100" s="544">
        <v>12800</v>
      </c>
      <c r="AB100" s="588" t="s">
        <v>829</v>
      </c>
    </row>
    <row r="103" spans="3:30">
      <c r="C103" s="539" t="s">
        <v>993</v>
      </c>
      <c r="G103" s="546" t="s">
        <v>994</v>
      </c>
      <c r="I103" s="541">
        <v>46113</v>
      </c>
      <c r="L103" s="452" t="s">
        <v>995</v>
      </c>
      <c r="O103" s="573" t="s">
        <v>996</v>
      </c>
      <c r="S103" t="s">
        <v>997</v>
      </c>
      <c r="U103" s="547" t="s">
        <v>998</v>
      </c>
      <c r="V103" t="s">
        <v>999</v>
      </c>
      <c r="X103" t="s">
        <v>155</v>
      </c>
      <c r="Z103" s="544">
        <v>22400</v>
      </c>
      <c r="AB103" t="s">
        <v>843</v>
      </c>
      <c r="AD103" t="s">
        <v>1000</v>
      </c>
    </row>
    <row r="105" spans="3:30">
      <c r="C105" s="539" t="s">
        <v>1001</v>
      </c>
      <c r="G105" s="550" t="s">
        <v>1002</v>
      </c>
      <c r="I105" s="541">
        <v>45786</v>
      </c>
      <c r="L105" s="452" t="s">
        <v>1003</v>
      </c>
      <c r="O105" s="573" t="s">
        <v>1004</v>
      </c>
      <c r="S105" t="s">
        <v>1005</v>
      </c>
      <c r="U105" s="547"/>
      <c r="X105" t="s">
        <v>158</v>
      </c>
      <c r="Z105" s="544">
        <v>12800</v>
      </c>
      <c r="AB105" s="588" t="s">
        <v>829</v>
      </c>
    </row>
    <row r="107" spans="3:30">
      <c r="C107" s="539" t="s">
        <v>1006</v>
      </c>
      <c r="E107" t="s">
        <v>41</v>
      </c>
      <c r="G107" s="558" t="s">
        <v>1007</v>
      </c>
      <c r="I107" s="541">
        <v>45888</v>
      </c>
      <c r="L107" t="s">
        <v>1008</v>
      </c>
      <c r="O107" s="539" t="s">
        <v>1009</v>
      </c>
      <c r="U107" s="547" t="s">
        <v>1010</v>
      </c>
      <c r="X107" t="s">
        <v>1011</v>
      </c>
      <c r="Z107" s="559">
        <v>16800</v>
      </c>
      <c r="AB107" t="s">
        <v>843</v>
      </c>
      <c r="AD107" t="s">
        <v>1000</v>
      </c>
    </row>
    <row r="109" spans="3:30">
      <c r="C109" t="s">
        <v>809</v>
      </c>
      <c r="G109" t="s">
        <v>786</v>
      </c>
      <c r="I109" s="541">
        <v>45922</v>
      </c>
      <c r="L109" t="s">
        <v>1012</v>
      </c>
      <c r="O109" s="539" t="s">
        <v>1013</v>
      </c>
      <c r="S109">
        <v>97626385</v>
      </c>
      <c r="U109" s="547"/>
      <c r="X109" t="s">
        <v>155</v>
      </c>
      <c r="Z109" s="559">
        <v>14800</v>
      </c>
      <c r="AB109" s="588" t="s">
        <v>829</v>
      </c>
    </row>
    <row r="111" spans="3:30">
      <c r="C111" s="595" t="s">
        <v>1014</v>
      </c>
      <c r="G111" t="s">
        <v>1015</v>
      </c>
      <c r="I111" s="541">
        <v>45945</v>
      </c>
      <c r="L111" t="s">
        <v>1016</v>
      </c>
      <c r="O111" s="539" t="s">
        <v>1017</v>
      </c>
      <c r="S111" t="s">
        <v>1018</v>
      </c>
      <c r="U111" s="547"/>
      <c r="X111" t="s">
        <v>1019</v>
      </c>
      <c r="Z111" s="559">
        <v>6800</v>
      </c>
      <c r="AB111" s="574" t="s">
        <v>829</v>
      </c>
    </row>
    <row r="112" spans="3:30">
      <c r="AB112" s="390"/>
    </row>
    <row r="113" spans="3:30">
      <c r="C113" s="539" t="s">
        <v>1020</v>
      </c>
      <c r="G113" t="s">
        <v>1020</v>
      </c>
      <c r="I113" s="541">
        <v>45959</v>
      </c>
      <c r="L113" t="s">
        <v>1021</v>
      </c>
      <c r="O113" t="s">
        <v>1022</v>
      </c>
      <c r="S113" t="s">
        <v>1023</v>
      </c>
      <c r="U113" s="547"/>
      <c r="X113" t="s">
        <v>1024</v>
      </c>
      <c r="Z113" s="559">
        <v>6800</v>
      </c>
      <c r="AB113" s="588" t="s">
        <v>829</v>
      </c>
    </row>
    <row r="114" spans="3:30">
      <c r="AB114" s="390"/>
    </row>
    <row r="115" spans="3:30">
      <c r="C115" s="539" t="s">
        <v>1025</v>
      </c>
      <c r="G115" s="539" t="s">
        <v>1026</v>
      </c>
      <c r="I115" s="541">
        <v>45960</v>
      </c>
      <c r="L115" t="s">
        <v>1027</v>
      </c>
      <c r="O115" s="539" t="s">
        <v>1028</v>
      </c>
      <c r="S115" t="s">
        <v>1029</v>
      </c>
      <c r="U115" s="547"/>
      <c r="Z115" s="559">
        <v>35800</v>
      </c>
      <c r="AB115" s="390" t="s">
        <v>843</v>
      </c>
      <c r="AD115" t="s">
        <v>1000</v>
      </c>
    </row>
    <row r="116" spans="3:30">
      <c r="AB116" s="390"/>
    </row>
    <row r="117" spans="3:30">
      <c r="C117" s="539" t="s">
        <v>1030</v>
      </c>
      <c r="G117" s="539" t="s">
        <v>1031</v>
      </c>
      <c r="I117" s="541">
        <v>45964</v>
      </c>
      <c r="L117" t="s">
        <v>1032</v>
      </c>
      <c r="O117" s="539" t="s">
        <v>1033</v>
      </c>
      <c r="S117" t="s">
        <v>1034</v>
      </c>
      <c r="U117" s="547"/>
      <c r="X117" t="s">
        <v>1019</v>
      </c>
      <c r="Z117" s="559">
        <v>6800</v>
      </c>
      <c r="AB117" s="574" t="s">
        <v>829</v>
      </c>
    </row>
    <row r="119" spans="3:30">
      <c r="C119" s="539" t="s">
        <v>1035</v>
      </c>
      <c r="G119" s="539" t="s">
        <v>1036</v>
      </c>
      <c r="I119" s="541">
        <v>45981</v>
      </c>
      <c r="L119" t="s">
        <v>1037</v>
      </c>
      <c r="O119" s="573" t="s">
        <v>1038</v>
      </c>
      <c r="S119" s="471" t="s">
        <v>1039</v>
      </c>
      <c r="U119" s="547"/>
      <c r="X119" t="s">
        <v>1019</v>
      </c>
      <c r="Z119" s="559">
        <v>10800</v>
      </c>
      <c r="AB119" s="588" t="s">
        <v>829</v>
      </c>
    </row>
    <row r="121" spans="3:30">
      <c r="C121" t="s">
        <v>1040</v>
      </c>
      <c r="G121" t="s">
        <v>1041</v>
      </c>
      <c r="I121" s="541">
        <v>45985</v>
      </c>
      <c r="L121" t="s">
        <v>1042</v>
      </c>
      <c r="O121" s="539" t="s">
        <v>1043</v>
      </c>
      <c r="S121" t="s">
        <v>1044</v>
      </c>
      <c r="U121" s="547"/>
      <c r="X121" t="s">
        <v>155</v>
      </c>
      <c r="Z121" s="559">
        <v>12800</v>
      </c>
      <c r="AB121" s="390" t="s">
        <v>843</v>
      </c>
      <c r="AD121" t="s">
        <v>1000</v>
      </c>
    </row>
  </sheetData>
  <dataValidations count="2">
    <dataValidation type="list" allowBlank="1" showInputMessage="1" showErrorMessage="1" sqref="AB105:AB107 AB109 AB111:AB117 AB119 AB121 AB10:AB103" xr:uid="{6B8C88B8-B362-477B-88F5-10B4954BC5E0}">
      <formula1>"Utført2025,Ikke utført2025"</formula1>
    </dataValidation>
    <dataValidation type="list" allowBlank="1" showInputMessage="1" showErrorMessage="1" sqref="X10:X104" xr:uid="{6847B9DC-E1CC-4A00-A11A-7296FCBC0992}">
      <formula1>"Juni,juli,august,September"</formula1>
    </dataValidation>
  </dataValidations>
  <hyperlinks>
    <hyperlink ref="O13" r:id="rId1" xr:uid="{7AAC47D0-5F56-4DE2-82B4-5FB8B6F9A76A}"/>
    <hyperlink ref="O16" r:id="rId2" xr:uid="{041E9DAE-77C3-4B93-AC98-8EFBEB3A19C3}"/>
    <hyperlink ref="O19" r:id="rId3" xr:uid="{817D6AA1-B75D-4DEC-BC40-EEB47C2E396C}"/>
    <hyperlink ref="O22" r:id="rId4" xr:uid="{CAF32B7A-2F5B-47F5-A3A6-CF1357C22BDE}"/>
    <hyperlink ref="O25" r:id="rId5" xr:uid="{499A3623-51C2-455A-8FEB-BEE4ED825FA0}"/>
    <hyperlink ref="O28" r:id="rId6" xr:uid="{837C8582-A74E-4B84-B6C3-911FA473BD56}"/>
    <hyperlink ref="O31" r:id="rId7" xr:uid="{B3043499-C218-4E11-8BEF-C754959D6CC3}"/>
    <hyperlink ref="O34" r:id="rId8" xr:uid="{6F0D1EAB-4945-49EF-A33F-639AA270D973}"/>
    <hyperlink ref="O37" r:id="rId9" xr:uid="{017F20DD-3EAF-4AA2-A4D3-11CA4478FE20}"/>
    <hyperlink ref="O40" r:id="rId10" xr:uid="{0F04098E-46D8-4816-A0AC-CC3ADDB3F1FF}"/>
    <hyperlink ref="O43" r:id="rId11" xr:uid="{3EC362EF-D9B7-49C2-B6FD-3CA27A66C8CF}"/>
    <hyperlink ref="O46" r:id="rId12" xr:uid="{8EFCB33E-F121-466B-A03D-5FEB1251574A}"/>
    <hyperlink ref="O49" r:id="rId13" xr:uid="{6FB15E03-80A6-4928-8D13-12503D9F05CA}"/>
    <hyperlink ref="O52" r:id="rId14" xr:uid="{19551711-2982-4E11-BC8E-9A265DD01F7F}"/>
    <hyperlink ref="O55" r:id="rId15" xr:uid="{CF06997B-2DB0-48FE-B912-D2067F66F007}"/>
    <hyperlink ref="O58" r:id="rId16" xr:uid="{B79ECBE2-E7A5-4C14-9C08-4317AC8EF1FC}"/>
    <hyperlink ref="O61" r:id="rId17" xr:uid="{099D525B-1E91-4BE4-8BD1-5FFCDB1BD054}"/>
    <hyperlink ref="O67" r:id="rId18" xr:uid="{43400371-E2A8-4A41-BC11-368F1CFCBCFC}"/>
    <hyperlink ref="O70" r:id="rId19" xr:uid="{9E05DE21-8231-4D41-AFB0-1EC3DFCE625A}"/>
    <hyperlink ref="O73" r:id="rId20" xr:uid="{A3DEB004-2452-4D65-B6BA-5A5FD2C0EACA}"/>
    <hyperlink ref="O76" r:id="rId21" xr:uid="{09694B2E-B1D7-4A94-98C2-1156419CC287}"/>
    <hyperlink ref="O79" r:id="rId22" xr:uid="{AE31A9B5-40CE-44FD-96D5-0ED0C4251963}"/>
    <hyperlink ref="O82" r:id="rId23" xr:uid="{676F6F40-6A2B-4221-B93F-8BDA46DC2CA2}"/>
    <hyperlink ref="O85" r:id="rId24" xr:uid="{2FEBB526-CAF5-44AB-8E85-F03BBDBCB42E}"/>
    <hyperlink ref="O88" r:id="rId25" xr:uid="{EB37E696-21CB-4192-8353-966D8069BF34}"/>
    <hyperlink ref="O91" r:id="rId26" xr:uid="{14C78E3B-8F36-4235-8A0D-04527A1F17BF}"/>
    <hyperlink ref="O94" r:id="rId27" xr:uid="{A4FCE6CA-BD2F-4B57-B21F-81B66501A5C7}"/>
    <hyperlink ref="O97" r:id="rId28" xr:uid="{6B5B5829-BB81-4C9F-A08B-B74B447E5135}"/>
    <hyperlink ref="O100" r:id="rId29" xr:uid="{88CE1B25-63AD-4056-9D2C-6825BA206E17}"/>
    <hyperlink ref="O103" r:id="rId30" xr:uid="{6CF4BD23-3C0A-4E87-90F2-5EB21E4BDFF2}"/>
    <hyperlink ref="O10" r:id="rId31" xr:uid="{42F2938B-0AA6-41AE-BA4B-8A299077CF55}"/>
    <hyperlink ref="C100" r:id="rId32" xr:uid="{E5A7090A-1722-4A53-A2B5-6624D791C3C1}"/>
    <hyperlink ref="C40" r:id="rId33" xr:uid="{868BD531-BECA-435F-8932-410323E3DAFF}"/>
    <hyperlink ref="C52" r:id="rId34" xr:uid="{52D4F61B-3446-443B-8310-C2C6E8E6C10E}"/>
    <hyperlink ref="C46" r:id="rId35" xr:uid="{C24695F6-38ED-4EC7-B5E9-1EFA1A1A16A3}"/>
    <hyperlink ref="C10" r:id="rId36" xr:uid="{92A164DE-9BD0-4E43-A030-6BAA43CAB29E}"/>
    <hyperlink ref="C22" r:id="rId37" xr:uid="{F374DD02-EABF-418F-9537-93F544DD3038}"/>
    <hyperlink ref="C58" r:id="rId38" xr:uid="{38414918-277C-482B-91E6-CDCF23B73D0C}"/>
    <hyperlink ref="C49" r:id="rId39" xr:uid="{9AC11B6E-B4AE-4C92-85A2-867299A75A28}"/>
    <hyperlink ref="C94" r:id="rId40" xr:uid="{D9588365-7953-4675-B0AA-B4F3E740717C}"/>
    <hyperlink ref="C76" r:id="rId41" xr:uid="{54F529E1-F19E-4E98-975E-CCAE8487C3CF}"/>
    <hyperlink ref="C67" r:id="rId42" xr:uid="{0BD55BCF-D709-451C-BEA1-337424801BDD}"/>
    <hyperlink ref="C55" r:id="rId43" xr:uid="{7D7186D4-B302-40F5-960D-BD5D917A823A}"/>
    <hyperlink ref="C82" r:id="rId44" xr:uid="{6D5331E9-F3CB-4E05-9847-F6588C2C9608}"/>
    <hyperlink ref="O105" r:id="rId45" xr:uid="{D142DABA-BF41-4F15-B3EA-13F47E715130}"/>
    <hyperlink ref="C105" r:id="rId46" xr:uid="{CD61867C-9AE4-4835-82AD-D8518B7E393E}"/>
    <hyperlink ref="C79" r:id="rId47" xr:uid="{357337C6-720E-4929-9D03-B37550F05EA1}"/>
    <hyperlink ref="C97" r:id="rId48" xr:uid="{FE534D61-7E08-4A95-BC0E-30AC20BD3455}"/>
    <hyperlink ref="C19" r:id="rId49" xr:uid="{64BCF736-304C-4DB4-9560-705986506F38}"/>
    <hyperlink ref="O107" r:id="rId50" xr:uid="{6DA98B56-4A19-40F1-8FFC-2E320BE4A625}"/>
    <hyperlink ref="C107" r:id="rId51" xr:uid="{8AD9C046-71FA-4BA3-896C-AE26368FD543}"/>
    <hyperlink ref="C13" r:id="rId52" xr:uid="{A50E992A-EA9F-4B41-8D8E-C2DA32755321}"/>
    <hyperlink ref="O109" r:id="rId53" xr:uid="{FAB38078-4B02-458B-9C30-041E6C00E7E4}"/>
    <hyperlink ref="C85" r:id="rId54" xr:uid="{D751924F-58A5-41F3-A899-E1ABE8768E1E}"/>
    <hyperlink ref="C61" r:id="rId55" xr:uid="{9173F732-02C8-4BE1-BE39-2DA6A98D2582}"/>
    <hyperlink ref="C103" r:id="rId56" xr:uid="{3F73D031-136F-4B74-B5B8-5E5898518B2F}"/>
    <hyperlink ref="O64" r:id="rId57" xr:uid="{09783120-4239-46DB-A002-E2E246E28B8E}"/>
    <hyperlink ref="C64" r:id="rId58" xr:uid="{B9099328-CEC2-4A04-8941-0B5895E4314E}"/>
    <hyperlink ref="O111" r:id="rId59" xr:uid="{396B34C6-F7E1-4AFD-8FAD-8F64D958190D}"/>
    <hyperlink ref="C113" r:id="rId60" xr:uid="{E47E2715-BB0A-41D7-B9EF-111634178AED}"/>
    <hyperlink ref="O115" r:id="rId61" xr:uid="{E5955C80-17CF-4F6C-B14F-FBC17D1A2BDC}"/>
    <hyperlink ref="O117" r:id="rId62" xr:uid="{FB764B3A-CB09-474B-9F40-8B2E8C030C08}"/>
    <hyperlink ref="C117" r:id="rId63" xr:uid="{FBCA19DF-9B87-4E59-A0FC-F7FD40750B01}"/>
    <hyperlink ref="G117" r:id="rId64" xr:uid="{7CA9198F-E4AB-4424-AB4A-ABF73D1BEB63}"/>
    <hyperlink ref="C115" r:id="rId65" xr:uid="{4CF79FA1-F6C9-4A8A-A59D-717519042793}"/>
    <hyperlink ref="G115" r:id="rId66" xr:uid="{95E38141-4519-4BAE-876E-F6BA8323249B}"/>
    <hyperlink ref="O119" r:id="rId67" xr:uid="{6229056D-FC33-4DAA-98EF-07C84E34A5C8}"/>
    <hyperlink ref="O121" r:id="rId68" xr:uid="{B532AAD5-C64F-4683-8CEF-2A109CDCD9AA}"/>
    <hyperlink ref="C28" r:id="rId69" xr:uid="{FFD944C5-44A7-4F6C-A875-AC41D3564F29}"/>
    <hyperlink ref="G119" r:id="rId70" xr:uid="{0DC1DF6D-9ECF-44BB-899A-FB749561F405}"/>
    <hyperlink ref="C119" r:id="rId71" xr:uid="{3B46EA67-BA6E-4655-8A1A-AC8A1E05A7CE}"/>
  </hyperlinks>
  <pageMargins left="0.7" right="0.7" top="0.75" bottom="0.75" header="0.3" footer="0.3"/>
  <pageSetup paperSize="9" orientation="portrait" r:id="rId7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34D3-D11E-4002-B9DD-A726AD9E15E5}">
  <sheetPr filterMode="1">
    <tabColor rgb="FF92D050"/>
    <pageSetUpPr fitToPage="1"/>
  </sheetPr>
  <dimension ref="A1:AS180"/>
  <sheetViews>
    <sheetView showWhiteSpace="0" zoomScale="85" zoomScaleNormal="85" zoomScaleSheetLayoutView="40" zoomScalePageLayoutView="50" workbookViewId="0">
      <pane xSplit="2" ySplit="7" topLeftCell="C39" activePane="bottomRight" state="frozen"/>
      <selection pane="topRight" activeCell="C1" sqref="C1"/>
      <selection pane="bottomLeft" activeCell="A8" sqref="A8"/>
      <selection pane="bottomRight" activeCell="H96" sqref="H96"/>
    </sheetView>
  </sheetViews>
  <sheetFormatPr baseColWidth="10" defaultColWidth="9.1640625" defaultRowHeight="16"/>
  <cols>
    <col min="1" max="1" width="12.33203125" style="9" customWidth="1"/>
    <col min="2" max="2" width="48.33203125" style="11" customWidth="1"/>
    <col min="3" max="3" width="29.6640625" style="9" customWidth="1"/>
    <col min="4" max="4" width="20.1640625" style="9" customWidth="1"/>
    <col min="5" max="6" width="11.5" style="11" customWidth="1"/>
    <col min="7" max="19" width="12.6640625" style="30" customWidth="1"/>
    <col min="20" max="20" width="14.1640625" style="30" customWidth="1"/>
    <col min="21" max="26" width="12.6640625" style="30" customWidth="1"/>
    <col min="27" max="27" width="13" style="30" customWidth="1"/>
    <col min="28" max="29" width="12.83203125" style="30" customWidth="1"/>
    <col min="30" max="30" width="82.1640625" style="30" customWidth="1"/>
    <col min="31" max="37" width="20.6640625" style="3" customWidth="1"/>
    <col min="38" max="16384" width="9.1640625" style="3"/>
  </cols>
  <sheetData>
    <row r="1" spans="1:45" ht="30" customHeight="1">
      <c r="A1" s="188" t="s">
        <v>1045</v>
      </c>
      <c r="B1" s="154"/>
      <c r="C1" s="157"/>
      <c r="D1" s="157"/>
      <c r="E1" s="152"/>
      <c r="F1" s="152"/>
      <c r="G1" s="156"/>
      <c r="H1" s="156"/>
      <c r="I1" s="156"/>
      <c r="J1" s="156"/>
      <c r="K1" s="156"/>
      <c r="L1" s="158"/>
      <c r="M1" s="158"/>
      <c r="N1" s="158"/>
      <c r="O1" s="156"/>
      <c r="P1" s="156"/>
      <c r="Q1" s="156"/>
      <c r="R1" s="156"/>
      <c r="S1" s="156"/>
      <c r="T1" s="158"/>
      <c r="U1" s="158"/>
      <c r="V1" s="156"/>
      <c r="W1" s="156"/>
      <c r="X1" s="156"/>
      <c r="Y1" s="156"/>
      <c r="Z1" s="156"/>
      <c r="AA1" s="156"/>
      <c r="AB1" s="156"/>
      <c r="AC1" s="156"/>
      <c r="AD1" s="156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</row>
    <row r="2" spans="1:45" ht="22" customHeight="1">
      <c r="A2" s="155"/>
      <c r="B2" s="155"/>
      <c r="C2" s="274"/>
      <c r="D2" s="274" t="s">
        <v>1046</v>
      </c>
      <c r="E2" s="275">
        <f ca="1">TODAY()</f>
        <v>46001</v>
      </c>
      <c r="F2" s="275"/>
      <c r="G2" s="156"/>
      <c r="H2" s="156"/>
      <c r="I2" s="156"/>
      <c r="J2" s="156"/>
      <c r="K2" s="156"/>
      <c r="L2" s="158"/>
      <c r="M2" s="158"/>
      <c r="N2" s="158"/>
      <c r="O2" s="156"/>
      <c r="P2" s="156"/>
      <c r="Q2" s="156"/>
      <c r="R2" s="156"/>
      <c r="S2" s="156"/>
      <c r="T2" s="158"/>
      <c r="U2" s="158"/>
      <c r="V2" s="156"/>
      <c r="W2" s="156"/>
      <c r="X2" s="156"/>
      <c r="Y2" s="156"/>
      <c r="Z2" s="156"/>
      <c r="AA2" s="156"/>
      <c r="AB2" s="156"/>
      <c r="AC2" s="156"/>
      <c r="AD2" s="156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</row>
    <row r="3" spans="1:45" ht="22" customHeight="1">
      <c r="A3" s="152"/>
      <c r="B3" s="156"/>
      <c r="C3" s="159"/>
      <c r="D3" s="159"/>
      <c r="E3" s="160"/>
      <c r="F3" s="160"/>
      <c r="G3" s="156"/>
      <c r="H3" s="156"/>
      <c r="I3" s="156"/>
      <c r="J3" s="156"/>
      <c r="K3" s="156"/>
      <c r="L3" s="158"/>
      <c r="M3" s="158"/>
      <c r="N3" s="158"/>
      <c r="O3" s="156"/>
      <c r="P3" s="156"/>
      <c r="Q3" s="156"/>
      <c r="R3" s="156"/>
      <c r="S3" s="156"/>
      <c r="T3" s="158"/>
      <c r="U3" s="158"/>
      <c r="V3" s="156"/>
      <c r="W3" s="156"/>
      <c r="X3" s="156"/>
      <c r="Y3" s="156"/>
      <c r="Z3" s="156"/>
      <c r="AA3" s="156"/>
      <c r="AB3" s="156"/>
      <c r="AC3" s="156"/>
      <c r="AD3" s="156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</row>
    <row r="4" spans="1:45" s="12" customFormat="1" ht="22" customHeight="1">
      <c r="A4" s="155"/>
      <c r="B4" s="155"/>
      <c r="C4" s="166"/>
      <c r="D4" s="166" t="s">
        <v>1047</v>
      </c>
      <c r="E4" s="167">
        <f ca="1">_xlfn.ISOWEEKNUM(E2)</f>
        <v>50</v>
      </c>
      <c r="F4" s="167"/>
      <c r="G4" s="155"/>
      <c r="H4" s="155"/>
      <c r="I4" s="163"/>
      <c r="J4" s="163"/>
      <c r="K4" s="163"/>
      <c r="L4" s="155"/>
      <c r="M4" s="155"/>
      <c r="N4" s="155"/>
      <c r="O4" s="155"/>
      <c r="P4" s="155"/>
      <c r="Q4" s="164"/>
      <c r="R4" s="164"/>
      <c r="S4" s="164"/>
      <c r="T4" s="155"/>
      <c r="U4" s="155"/>
      <c r="V4" s="164"/>
      <c r="W4" s="155"/>
      <c r="X4" s="164"/>
      <c r="Y4" s="164"/>
      <c r="Z4" s="164"/>
      <c r="AA4" s="164"/>
      <c r="AB4" s="164"/>
      <c r="AC4" s="164"/>
      <c r="AD4" s="164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</row>
    <row r="5" spans="1:45" s="12" customFormat="1" ht="16.25" customHeight="1">
      <c r="A5" s="155"/>
      <c r="B5" s="155"/>
      <c r="C5" s="165"/>
      <c r="D5" s="16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</row>
    <row r="6" spans="1:45" s="12" customFormat="1" ht="76.5" customHeight="1" thickBot="1">
      <c r="A6" s="69" t="s">
        <v>1048</v>
      </c>
      <c r="B6" s="70" t="s">
        <v>1049</v>
      </c>
      <c r="C6" s="68" t="s">
        <v>1050</v>
      </c>
      <c r="D6" s="68" t="s">
        <v>1051</v>
      </c>
      <c r="E6" s="151" t="s">
        <v>1052</v>
      </c>
      <c r="F6" s="252" t="s">
        <v>1053</v>
      </c>
      <c r="G6" s="252" t="s">
        <v>1054</v>
      </c>
      <c r="H6" s="252" t="s">
        <v>1055</v>
      </c>
      <c r="I6" s="252" t="s">
        <v>1056</v>
      </c>
      <c r="J6" s="252" t="s">
        <v>1057</v>
      </c>
      <c r="K6" s="252" t="s">
        <v>1058</v>
      </c>
      <c r="L6" s="252" t="s">
        <v>1059</v>
      </c>
      <c r="M6" s="252" t="s">
        <v>1060</v>
      </c>
      <c r="N6" s="312" t="s">
        <v>1061</v>
      </c>
      <c r="O6" s="253" t="s">
        <v>1062</v>
      </c>
      <c r="P6" s="253" t="s">
        <v>1063</v>
      </c>
      <c r="Q6" s="252" t="s">
        <v>1064</v>
      </c>
      <c r="R6" s="252" t="s">
        <v>1065</v>
      </c>
      <c r="S6" s="252" t="s">
        <v>1066</v>
      </c>
      <c r="T6" s="252" t="s">
        <v>1067</v>
      </c>
      <c r="U6" s="252" t="s">
        <v>1068</v>
      </c>
      <c r="V6" s="252" t="s">
        <v>1069</v>
      </c>
      <c r="W6" s="252" t="s">
        <v>1070</v>
      </c>
      <c r="X6" s="312" t="s">
        <v>1071</v>
      </c>
      <c r="Y6" s="312" t="s">
        <v>1072</v>
      </c>
      <c r="Z6" s="252" t="s">
        <v>1073</v>
      </c>
      <c r="AA6" s="291" t="s">
        <v>1074</v>
      </c>
      <c r="AB6" s="291" t="s">
        <v>1075</v>
      </c>
      <c r="AC6" s="436" t="s">
        <v>837</v>
      </c>
      <c r="AD6" s="252" t="s">
        <v>1076</v>
      </c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</row>
    <row r="7" spans="1:45" s="12" customFormat="1" ht="14.25" customHeight="1" thickBot="1">
      <c r="A7" s="18"/>
      <c r="B7" s="44" t="s">
        <v>1077</v>
      </c>
      <c r="C7" s="44"/>
      <c r="D7" s="44"/>
      <c r="E7" s="47"/>
      <c r="F7" s="456"/>
      <c r="G7" s="83"/>
      <c r="H7" s="85"/>
      <c r="I7" s="84"/>
      <c r="J7" s="84"/>
      <c r="K7" s="84"/>
      <c r="L7" s="84"/>
      <c r="M7" s="84"/>
      <c r="N7" s="85"/>
      <c r="O7" s="86"/>
      <c r="P7" s="86"/>
      <c r="Q7" s="84"/>
      <c r="R7" s="84"/>
      <c r="S7" s="84"/>
      <c r="T7" s="84"/>
      <c r="U7" s="85"/>
      <c r="V7" s="84"/>
      <c r="W7" s="86"/>
      <c r="X7" s="84"/>
      <c r="Y7" s="438"/>
      <c r="Z7" s="87"/>
      <c r="AA7" s="77"/>
      <c r="AB7" s="78"/>
      <c r="AC7" s="78"/>
      <c r="AD7" s="84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</row>
    <row r="8" spans="1:45" ht="20" hidden="1" customHeight="1">
      <c r="A8" s="283">
        <v>22001</v>
      </c>
      <c r="B8" s="284" t="s">
        <v>1078</v>
      </c>
      <c r="C8" s="285" t="s">
        <v>44</v>
      </c>
      <c r="D8" s="285" t="s">
        <v>1079</v>
      </c>
      <c r="E8" s="72">
        <v>1</v>
      </c>
      <c r="F8" s="82" t="s">
        <v>1080</v>
      </c>
      <c r="G8" s="82">
        <v>1</v>
      </c>
      <c r="H8" s="82">
        <v>1</v>
      </c>
      <c r="I8" s="82">
        <v>1</v>
      </c>
      <c r="J8" s="82">
        <v>1</v>
      </c>
      <c r="K8" s="82" t="s">
        <v>1080</v>
      </c>
      <c r="L8" s="82">
        <v>1</v>
      </c>
      <c r="M8" s="307">
        <v>1</v>
      </c>
      <c r="N8" s="310">
        <v>1</v>
      </c>
      <c r="O8" s="82">
        <v>1</v>
      </c>
      <c r="P8" s="82">
        <v>1</v>
      </c>
      <c r="Q8" s="82">
        <v>1</v>
      </c>
      <c r="R8" s="82">
        <v>1</v>
      </c>
      <c r="S8" s="82">
        <v>1</v>
      </c>
      <c r="T8" s="82">
        <v>1</v>
      </c>
      <c r="U8" s="82">
        <v>1</v>
      </c>
      <c r="V8" s="82">
        <v>1</v>
      </c>
      <c r="W8" s="307">
        <v>1</v>
      </c>
      <c r="X8" s="437">
        <v>1</v>
      </c>
      <c r="Y8" s="76">
        <v>1</v>
      </c>
      <c r="Z8" s="82">
        <v>1</v>
      </c>
      <c r="AA8" s="463">
        <f t="shared" ref="AA8:AA13" si="0">IF(B8="","",(COUNTA(F8:Z8)))</f>
        <v>21</v>
      </c>
      <c r="AB8" s="464">
        <f>IF(B8="","",(AA8/COUNTA($F$6:$Z$6)))</f>
        <v>1</v>
      </c>
      <c r="AC8" s="458" t="s">
        <v>471</v>
      </c>
      <c r="AD8" s="330" t="s">
        <v>1081</v>
      </c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</row>
    <row r="9" spans="1:45" ht="20" hidden="1" customHeight="1">
      <c r="A9" s="286">
        <v>22003</v>
      </c>
      <c r="B9" s="287" t="s">
        <v>1082</v>
      </c>
      <c r="C9" s="288" t="s">
        <v>44</v>
      </c>
      <c r="D9" s="288" t="s">
        <v>1083</v>
      </c>
      <c r="E9" s="71">
        <v>8</v>
      </c>
      <c r="F9" s="76" t="s">
        <v>1080</v>
      </c>
      <c r="G9" s="76">
        <v>1</v>
      </c>
      <c r="H9" s="76">
        <v>1</v>
      </c>
      <c r="I9" s="76">
        <v>1</v>
      </c>
      <c r="J9" s="76">
        <v>1</v>
      </c>
      <c r="K9" s="76">
        <v>1</v>
      </c>
      <c r="L9" s="76">
        <v>1</v>
      </c>
      <c r="M9" s="308">
        <v>1</v>
      </c>
      <c r="N9" s="311">
        <v>1</v>
      </c>
      <c r="O9" s="76">
        <v>1</v>
      </c>
      <c r="P9" s="76">
        <v>1</v>
      </c>
      <c r="Q9" s="76">
        <v>1</v>
      </c>
      <c r="R9" s="76">
        <v>1</v>
      </c>
      <c r="S9" s="76" t="s">
        <v>1080</v>
      </c>
      <c r="T9" s="76">
        <v>1</v>
      </c>
      <c r="U9" s="76">
        <v>1</v>
      </c>
      <c r="V9" s="76">
        <v>1</v>
      </c>
      <c r="W9" s="308">
        <v>1</v>
      </c>
      <c r="X9" s="422">
        <v>1</v>
      </c>
      <c r="Y9" s="76">
        <v>1</v>
      </c>
      <c r="Z9" s="76">
        <v>1</v>
      </c>
      <c r="AA9" s="340">
        <f t="shared" si="0"/>
        <v>21</v>
      </c>
      <c r="AB9" s="461">
        <f t="shared" ref="AB9:AB13" si="1">IF(B9="","",(AA9/COUNTA($F$6:$Z$6)))</f>
        <v>1</v>
      </c>
      <c r="AC9" s="459" t="s">
        <v>471</v>
      </c>
      <c r="AD9" s="76" t="s">
        <v>1084</v>
      </c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</row>
    <row r="10" spans="1:45" ht="20" hidden="1" customHeight="1">
      <c r="A10" s="289">
        <v>22006</v>
      </c>
      <c r="B10" s="287" t="s">
        <v>1085</v>
      </c>
      <c r="C10" s="290" t="s">
        <v>59</v>
      </c>
      <c r="D10" s="290" t="s">
        <v>1086</v>
      </c>
      <c r="E10" s="71">
        <v>12</v>
      </c>
      <c r="F10" s="76" t="s">
        <v>1080</v>
      </c>
      <c r="G10" s="76">
        <v>1</v>
      </c>
      <c r="H10" s="76">
        <v>1</v>
      </c>
      <c r="I10" s="76">
        <v>1</v>
      </c>
      <c r="J10" s="76">
        <v>1</v>
      </c>
      <c r="K10" s="76" t="s">
        <v>1080</v>
      </c>
      <c r="L10" s="76">
        <v>1</v>
      </c>
      <c r="M10" s="308">
        <v>1</v>
      </c>
      <c r="N10" s="311">
        <v>1</v>
      </c>
      <c r="O10" s="76">
        <v>1</v>
      </c>
      <c r="P10" s="76">
        <v>1</v>
      </c>
      <c r="Q10" s="76">
        <v>1</v>
      </c>
      <c r="R10" s="76">
        <v>1</v>
      </c>
      <c r="S10" s="76">
        <v>1</v>
      </c>
      <c r="T10" s="76">
        <v>1</v>
      </c>
      <c r="U10" s="76">
        <v>1</v>
      </c>
      <c r="V10" s="76">
        <v>1</v>
      </c>
      <c r="W10" s="308">
        <v>1</v>
      </c>
      <c r="X10" s="422">
        <v>1</v>
      </c>
      <c r="Y10" s="76">
        <v>1</v>
      </c>
      <c r="Z10" s="76">
        <v>1</v>
      </c>
      <c r="AA10" s="340">
        <f t="shared" si="0"/>
        <v>21</v>
      </c>
      <c r="AB10" s="461">
        <f t="shared" si="1"/>
        <v>1</v>
      </c>
      <c r="AC10" s="459" t="s">
        <v>471</v>
      </c>
      <c r="AD10" s="356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</row>
    <row r="11" spans="1:45" ht="20" hidden="1" customHeight="1">
      <c r="A11" s="289">
        <v>22002</v>
      </c>
      <c r="B11" s="287" t="s">
        <v>1087</v>
      </c>
      <c r="C11" s="288" t="s">
        <v>44</v>
      </c>
      <c r="D11" s="288" t="s">
        <v>1083</v>
      </c>
      <c r="E11" s="71">
        <v>13</v>
      </c>
      <c r="F11" s="76" t="s">
        <v>1080</v>
      </c>
      <c r="G11" s="76">
        <v>1</v>
      </c>
      <c r="H11" s="76">
        <v>1</v>
      </c>
      <c r="I11" s="76">
        <v>1</v>
      </c>
      <c r="J11" s="76">
        <v>1</v>
      </c>
      <c r="K11" s="76">
        <v>1</v>
      </c>
      <c r="L11" s="76">
        <v>1</v>
      </c>
      <c r="M11" s="308">
        <v>1</v>
      </c>
      <c r="N11" s="311">
        <v>1</v>
      </c>
      <c r="O11" s="76">
        <v>1</v>
      </c>
      <c r="P11" s="76">
        <v>1</v>
      </c>
      <c r="Q11" s="76">
        <v>1</v>
      </c>
      <c r="R11" s="76">
        <v>1</v>
      </c>
      <c r="S11" s="76" t="s">
        <v>1080</v>
      </c>
      <c r="T11" s="76">
        <v>1</v>
      </c>
      <c r="U11" s="76">
        <v>1</v>
      </c>
      <c r="V11" s="76">
        <v>1</v>
      </c>
      <c r="W11" s="308">
        <v>1</v>
      </c>
      <c r="X11" s="422">
        <v>1</v>
      </c>
      <c r="Y11" s="76">
        <v>1</v>
      </c>
      <c r="Z11" s="76">
        <v>1</v>
      </c>
      <c r="AA11" s="340">
        <f t="shared" si="0"/>
        <v>21</v>
      </c>
      <c r="AB11" s="461">
        <f t="shared" si="1"/>
        <v>1</v>
      </c>
      <c r="AC11" s="459" t="s">
        <v>471</v>
      </c>
      <c r="AD11" s="76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</row>
    <row r="12" spans="1:45" ht="20" hidden="1" customHeight="1">
      <c r="A12" s="289">
        <v>22010</v>
      </c>
      <c r="B12" s="287" t="s">
        <v>1088</v>
      </c>
      <c r="C12" s="288" t="s">
        <v>59</v>
      </c>
      <c r="D12" s="288" t="s">
        <v>1079</v>
      </c>
      <c r="E12" s="295">
        <v>42</v>
      </c>
      <c r="F12" s="76" t="s">
        <v>1080</v>
      </c>
      <c r="G12" s="76" t="s">
        <v>1080</v>
      </c>
      <c r="H12" s="76">
        <v>1</v>
      </c>
      <c r="I12" s="76">
        <v>1</v>
      </c>
      <c r="J12" s="76">
        <v>1</v>
      </c>
      <c r="K12" s="76" t="s">
        <v>1080</v>
      </c>
      <c r="L12" s="76">
        <v>1</v>
      </c>
      <c r="M12" s="308">
        <v>1</v>
      </c>
      <c r="N12" s="311">
        <v>1</v>
      </c>
      <c r="O12" s="76">
        <v>1</v>
      </c>
      <c r="P12" s="76">
        <v>1</v>
      </c>
      <c r="Q12" s="76">
        <v>1</v>
      </c>
      <c r="R12" s="76">
        <v>1</v>
      </c>
      <c r="S12" s="76">
        <v>1</v>
      </c>
      <c r="T12" s="76">
        <v>1</v>
      </c>
      <c r="U12" s="76">
        <v>1</v>
      </c>
      <c r="V12" s="76">
        <v>1</v>
      </c>
      <c r="W12" s="308">
        <v>1</v>
      </c>
      <c r="X12" s="422">
        <v>1</v>
      </c>
      <c r="Y12" s="76">
        <v>1</v>
      </c>
      <c r="Z12" s="76" t="s">
        <v>1080</v>
      </c>
      <c r="AA12" s="340">
        <f t="shared" si="0"/>
        <v>21</v>
      </c>
      <c r="AB12" s="461">
        <f t="shared" si="1"/>
        <v>1</v>
      </c>
      <c r="AC12" s="459" t="s">
        <v>471</v>
      </c>
      <c r="AD12" s="356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</row>
    <row r="13" spans="1:45" ht="20" hidden="1" customHeight="1">
      <c r="A13" s="289">
        <v>22014</v>
      </c>
      <c r="B13" s="287" t="s">
        <v>1089</v>
      </c>
      <c r="C13" s="288" t="s">
        <v>1090</v>
      </c>
      <c r="D13" s="288" t="s">
        <v>1083</v>
      </c>
      <c r="E13" s="71">
        <v>26</v>
      </c>
      <c r="F13" s="76" t="s">
        <v>1080</v>
      </c>
      <c r="G13" s="76">
        <v>1</v>
      </c>
      <c r="H13" s="76">
        <v>1</v>
      </c>
      <c r="I13" s="76">
        <v>1</v>
      </c>
      <c r="J13" s="76">
        <v>1</v>
      </c>
      <c r="K13" s="76">
        <v>1</v>
      </c>
      <c r="L13" s="76">
        <v>1</v>
      </c>
      <c r="M13" s="308">
        <v>1</v>
      </c>
      <c r="N13" s="311">
        <v>1</v>
      </c>
      <c r="O13" s="76">
        <v>1</v>
      </c>
      <c r="P13" s="76">
        <v>1</v>
      </c>
      <c r="Q13" s="76">
        <v>1</v>
      </c>
      <c r="R13" s="76">
        <v>1</v>
      </c>
      <c r="S13" s="76">
        <v>1</v>
      </c>
      <c r="T13" s="76">
        <v>1</v>
      </c>
      <c r="U13" s="76">
        <v>1</v>
      </c>
      <c r="V13" s="76">
        <v>1</v>
      </c>
      <c r="W13" s="308">
        <v>1</v>
      </c>
      <c r="X13" s="422">
        <v>1</v>
      </c>
      <c r="Y13" s="76">
        <v>1</v>
      </c>
      <c r="Z13" s="76" t="s">
        <v>1080</v>
      </c>
      <c r="AA13" s="340">
        <f t="shared" si="0"/>
        <v>21</v>
      </c>
      <c r="AB13" s="461">
        <f t="shared" si="1"/>
        <v>1</v>
      </c>
      <c r="AC13" s="459" t="s">
        <v>471</v>
      </c>
      <c r="AD13" s="357" t="s">
        <v>1091</v>
      </c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</row>
    <row r="14" spans="1:45" ht="20" hidden="1" customHeight="1">
      <c r="A14" s="289">
        <v>22015</v>
      </c>
      <c r="B14" s="287" t="s">
        <v>1092</v>
      </c>
      <c r="C14" s="288" t="s">
        <v>59</v>
      </c>
      <c r="D14" s="288" t="s">
        <v>1093</v>
      </c>
      <c r="E14" s="385">
        <f>Prosjektliste_Prodplan!H15</f>
        <v>46</v>
      </c>
      <c r="F14" s="76" t="s">
        <v>1080</v>
      </c>
      <c r="G14" s="76">
        <v>1</v>
      </c>
      <c r="H14" s="76">
        <v>1</v>
      </c>
      <c r="I14" s="76">
        <v>1</v>
      </c>
      <c r="J14" s="76">
        <v>1</v>
      </c>
      <c r="K14" s="76">
        <v>1</v>
      </c>
      <c r="L14" s="76">
        <v>1</v>
      </c>
      <c r="M14" s="308">
        <v>1</v>
      </c>
      <c r="N14" s="311">
        <v>1</v>
      </c>
      <c r="O14" s="76">
        <v>1</v>
      </c>
      <c r="P14" s="76">
        <v>1</v>
      </c>
      <c r="Q14" s="76">
        <v>1</v>
      </c>
      <c r="R14" s="76">
        <v>1</v>
      </c>
      <c r="S14" s="76">
        <v>1</v>
      </c>
      <c r="T14" s="76">
        <v>1</v>
      </c>
      <c r="U14" s="76">
        <v>1</v>
      </c>
      <c r="V14" s="76" t="s">
        <v>1080</v>
      </c>
      <c r="W14" s="308">
        <v>1</v>
      </c>
      <c r="X14" s="422">
        <v>1</v>
      </c>
      <c r="Y14" s="76">
        <v>1</v>
      </c>
      <c r="Z14" s="76">
        <v>1</v>
      </c>
      <c r="AA14" s="340">
        <f t="shared" ref="AA14:AA21" si="2">IF(B14="","",(COUNTA(F14:Z14)))</f>
        <v>21</v>
      </c>
      <c r="AB14" s="461">
        <f t="shared" ref="AB14:AB20" si="3">IF(B14="","",(AA14/COUNTA($F$6:$Z$6)))</f>
        <v>1</v>
      </c>
      <c r="AC14" s="459" t="s">
        <v>471</v>
      </c>
      <c r="AD14" s="356" t="s">
        <v>1094</v>
      </c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</row>
    <row r="15" spans="1:45" ht="20" hidden="1" customHeight="1">
      <c r="A15" s="289">
        <v>22019</v>
      </c>
      <c r="B15" s="287" t="s">
        <v>1095</v>
      </c>
      <c r="C15" s="288" t="s">
        <v>59</v>
      </c>
      <c r="D15" s="288" t="s">
        <v>1096</v>
      </c>
      <c r="E15" s="71">
        <v>45</v>
      </c>
      <c r="F15" s="76" t="s">
        <v>1080</v>
      </c>
      <c r="G15" s="76" t="s">
        <v>1080</v>
      </c>
      <c r="H15" s="76" t="s">
        <v>1080</v>
      </c>
      <c r="I15" s="76">
        <v>1</v>
      </c>
      <c r="J15" s="76">
        <v>1</v>
      </c>
      <c r="K15" s="76" t="s">
        <v>1080</v>
      </c>
      <c r="L15" s="76">
        <v>1</v>
      </c>
      <c r="M15" s="308">
        <v>1</v>
      </c>
      <c r="N15" s="311">
        <v>1</v>
      </c>
      <c r="O15" s="76">
        <v>1</v>
      </c>
      <c r="P15" s="76">
        <v>1</v>
      </c>
      <c r="Q15" s="76">
        <v>1</v>
      </c>
      <c r="R15" s="76">
        <v>1</v>
      </c>
      <c r="S15" s="76">
        <v>1</v>
      </c>
      <c r="T15" s="76">
        <v>1</v>
      </c>
      <c r="U15" s="76">
        <v>1</v>
      </c>
      <c r="V15" s="76">
        <v>1</v>
      </c>
      <c r="W15" s="308">
        <v>1</v>
      </c>
      <c r="X15" s="422">
        <v>1</v>
      </c>
      <c r="Y15" s="76">
        <v>1</v>
      </c>
      <c r="Z15" s="76" t="s">
        <v>1080</v>
      </c>
      <c r="AA15" s="340">
        <f t="shared" si="2"/>
        <v>21</v>
      </c>
      <c r="AB15" s="461">
        <f t="shared" si="3"/>
        <v>1</v>
      </c>
      <c r="AC15" s="459" t="s">
        <v>471</v>
      </c>
      <c r="AD15" s="356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</row>
    <row r="16" spans="1:45" ht="20" hidden="1" customHeight="1">
      <c r="A16" s="289">
        <v>22025</v>
      </c>
      <c r="B16" s="287" t="s">
        <v>1097</v>
      </c>
      <c r="C16" s="288" t="s">
        <v>44</v>
      </c>
      <c r="D16" s="288" t="s">
        <v>1098</v>
      </c>
      <c r="E16" s="71">
        <v>28</v>
      </c>
      <c r="F16" s="76" t="s">
        <v>1080</v>
      </c>
      <c r="G16" s="76">
        <v>1</v>
      </c>
      <c r="H16" s="76">
        <v>1</v>
      </c>
      <c r="I16" s="76">
        <v>1</v>
      </c>
      <c r="J16" s="76">
        <v>1</v>
      </c>
      <c r="K16" s="76">
        <v>1</v>
      </c>
      <c r="L16" s="76">
        <v>1</v>
      </c>
      <c r="M16" s="308">
        <v>1</v>
      </c>
      <c r="N16" s="311">
        <v>1</v>
      </c>
      <c r="O16" s="76">
        <v>1</v>
      </c>
      <c r="P16" s="76">
        <v>1</v>
      </c>
      <c r="Q16" s="76">
        <v>1</v>
      </c>
      <c r="R16" s="76">
        <v>1</v>
      </c>
      <c r="S16" s="76">
        <v>1</v>
      </c>
      <c r="T16" s="76">
        <v>1</v>
      </c>
      <c r="U16" s="76">
        <v>1</v>
      </c>
      <c r="V16" s="76">
        <v>1</v>
      </c>
      <c r="W16" s="308">
        <v>1</v>
      </c>
      <c r="X16" s="422">
        <v>1</v>
      </c>
      <c r="Y16" s="76">
        <v>1</v>
      </c>
      <c r="Z16" s="76">
        <v>1</v>
      </c>
      <c r="AA16" s="340">
        <f t="shared" si="2"/>
        <v>21</v>
      </c>
      <c r="AB16" s="461">
        <f t="shared" si="3"/>
        <v>1</v>
      </c>
      <c r="AC16" s="459" t="s">
        <v>471</v>
      </c>
      <c r="AD16" s="356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</row>
    <row r="17" spans="1:45" ht="20" hidden="1" customHeight="1">
      <c r="A17" s="289">
        <v>23002</v>
      </c>
      <c r="B17" s="287" t="s">
        <v>1099</v>
      </c>
      <c r="C17" s="288" t="s">
        <v>59</v>
      </c>
      <c r="D17" s="288" t="s">
        <v>1098</v>
      </c>
      <c r="E17" s="71">
        <v>1</v>
      </c>
      <c r="F17" s="76" t="s">
        <v>1080</v>
      </c>
      <c r="G17" s="76">
        <v>1</v>
      </c>
      <c r="H17" s="76">
        <v>1</v>
      </c>
      <c r="I17" s="76">
        <v>1</v>
      </c>
      <c r="J17" s="76">
        <v>1</v>
      </c>
      <c r="K17" s="76" t="s">
        <v>1080</v>
      </c>
      <c r="L17" s="76">
        <v>1</v>
      </c>
      <c r="M17" s="308">
        <v>1</v>
      </c>
      <c r="N17" s="311">
        <v>1</v>
      </c>
      <c r="O17" s="76">
        <v>1</v>
      </c>
      <c r="P17" s="76">
        <v>1</v>
      </c>
      <c r="Q17" s="76">
        <v>1</v>
      </c>
      <c r="R17" s="76">
        <v>1</v>
      </c>
      <c r="S17" s="76">
        <v>1</v>
      </c>
      <c r="T17" s="76">
        <v>1</v>
      </c>
      <c r="U17" s="76">
        <v>1</v>
      </c>
      <c r="V17" s="76">
        <v>1</v>
      </c>
      <c r="W17" s="308">
        <v>1</v>
      </c>
      <c r="X17" s="422">
        <v>1</v>
      </c>
      <c r="Y17" s="76">
        <v>1</v>
      </c>
      <c r="Z17" s="76">
        <v>1</v>
      </c>
      <c r="AA17" s="340">
        <f t="shared" si="2"/>
        <v>21</v>
      </c>
      <c r="AB17" s="461">
        <f t="shared" si="3"/>
        <v>1</v>
      </c>
      <c r="AC17" s="459" t="s">
        <v>471</v>
      </c>
      <c r="AD17" s="76" t="s">
        <v>1100</v>
      </c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</row>
    <row r="18" spans="1:45" ht="20" hidden="1" customHeight="1">
      <c r="A18" s="289">
        <v>23016</v>
      </c>
      <c r="B18" s="287" t="s">
        <v>1101</v>
      </c>
      <c r="C18" s="288" t="s">
        <v>1090</v>
      </c>
      <c r="D18" s="288" t="s">
        <v>1083</v>
      </c>
      <c r="E18" s="71">
        <v>40</v>
      </c>
      <c r="F18" s="76" t="s">
        <v>1080</v>
      </c>
      <c r="G18" s="76" t="s">
        <v>1080</v>
      </c>
      <c r="H18" s="76">
        <v>1</v>
      </c>
      <c r="I18" s="76">
        <v>1</v>
      </c>
      <c r="J18" s="76">
        <v>1</v>
      </c>
      <c r="K18" s="76" t="s">
        <v>1080</v>
      </c>
      <c r="L18" s="76">
        <v>1</v>
      </c>
      <c r="M18" s="308">
        <v>1</v>
      </c>
      <c r="N18" s="311">
        <v>1</v>
      </c>
      <c r="O18" s="76">
        <v>1</v>
      </c>
      <c r="P18" s="76">
        <v>1</v>
      </c>
      <c r="Q18" s="76">
        <v>1</v>
      </c>
      <c r="R18" s="76">
        <v>1</v>
      </c>
      <c r="S18" s="76">
        <v>1</v>
      </c>
      <c r="T18" s="76">
        <v>1</v>
      </c>
      <c r="U18" s="76">
        <v>1</v>
      </c>
      <c r="V18" s="76" t="s">
        <v>1080</v>
      </c>
      <c r="W18" s="308">
        <v>1</v>
      </c>
      <c r="X18" s="422">
        <v>1</v>
      </c>
      <c r="Y18" s="76">
        <v>1</v>
      </c>
      <c r="Z18" s="76" t="s">
        <v>1080</v>
      </c>
      <c r="AA18" s="340">
        <f t="shared" si="2"/>
        <v>21</v>
      </c>
      <c r="AB18" s="461">
        <f t="shared" si="3"/>
        <v>1</v>
      </c>
      <c r="AC18" s="459" t="s">
        <v>471</v>
      </c>
      <c r="AD18" s="360" t="s">
        <v>1102</v>
      </c>
      <c r="AE18" s="152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</row>
    <row r="19" spans="1:45" ht="20" hidden="1" customHeight="1">
      <c r="A19" s="289">
        <v>23019</v>
      </c>
      <c r="B19" s="287" t="s">
        <v>1103</v>
      </c>
      <c r="C19" s="288" t="s">
        <v>1090</v>
      </c>
      <c r="D19" s="288" t="s">
        <v>1104</v>
      </c>
      <c r="E19" s="71">
        <v>6</v>
      </c>
      <c r="F19" s="76" t="s">
        <v>1080</v>
      </c>
      <c r="G19" s="76">
        <v>1</v>
      </c>
      <c r="H19" s="76" t="s">
        <v>1080</v>
      </c>
      <c r="I19" s="76">
        <v>1</v>
      </c>
      <c r="J19" s="76">
        <v>1</v>
      </c>
      <c r="K19" s="76">
        <v>1</v>
      </c>
      <c r="L19" s="76">
        <v>1</v>
      </c>
      <c r="M19" s="308">
        <v>1</v>
      </c>
      <c r="N19" s="311">
        <v>1</v>
      </c>
      <c r="O19" s="76">
        <v>1</v>
      </c>
      <c r="P19" s="76">
        <v>1</v>
      </c>
      <c r="Q19" s="76">
        <v>1</v>
      </c>
      <c r="R19" s="76">
        <v>1</v>
      </c>
      <c r="S19" s="76">
        <v>1</v>
      </c>
      <c r="T19" s="76">
        <v>1</v>
      </c>
      <c r="U19" s="76">
        <v>1</v>
      </c>
      <c r="V19" s="76" t="s">
        <v>1080</v>
      </c>
      <c r="W19" s="308">
        <v>1</v>
      </c>
      <c r="X19" s="422">
        <v>1</v>
      </c>
      <c r="Y19" s="76">
        <v>1</v>
      </c>
      <c r="Z19" s="76" t="s">
        <v>1080</v>
      </c>
      <c r="AA19" s="340">
        <f t="shared" si="2"/>
        <v>21</v>
      </c>
      <c r="AB19" s="461">
        <f t="shared" si="3"/>
        <v>1</v>
      </c>
      <c r="AC19" s="459" t="s">
        <v>471</v>
      </c>
      <c r="AD19" s="76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</row>
    <row r="20" spans="1:45" ht="20" hidden="1" customHeight="1" thickBot="1">
      <c r="A20" s="289">
        <v>23020</v>
      </c>
      <c r="B20" s="287" t="s">
        <v>1105</v>
      </c>
      <c r="C20" s="287" t="s">
        <v>1106</v>
      </c>
      <c r="D20" s="288" t="s">
        <v>1096</v>
      </c>
      <c r="E20" s="71">
        <v>23</v>
      </c>
      <c r="F20" s="76" t="s">
        <v>1080</v>
      </c>
      <c r="G20" s="76" t="s">
        <v>1080</v>
      </c>
      <c r="H20" s="76">
        <v>0.1</v>
      </c>
      <c r="I20" s="76">
        <v>1</v>
      </c>
      <c r="J20" s="76">
        <v>1</v>
      </c>
      <c r="K20" s="76">
        <v>1</v>
      </c>
      <c r="L20" s="76">
        <v>1</v>
      </c>
      <c r="M20" s="308">
        <v>1</v>
      </c>
      <c r="N20" s="311">
        <v>1</v>
      </c>
      <c r="O20" s="76">
        <v>1</v>
      </c>
      <c r="P20" s="76">
        <v>1</v>
      </c>
      <c r="Q20" s="76">
        <v>1</v>
      </c>
      <c r="R20" s="76">
        <v>1</v>
      </c>
      <c r="S20" s="76">
        <v>1</v>
      </c>
      <c r="T20" s="76">
        <v>1</v>
      </c>
      <c r="U20" s="76">
        <v>1</v>
      </c>
      <c r="V20" s="76">
        <v>1</v>
      </c>
      <c r="W20" s="308">
        <v>1</v>
      </c>
      <c r="X20" s="422">
        <v>1</v>
      </c>
      <c r="Y20" s="76">
        <v>1</v>
      </c>
      <c r="Z20" s="76" t="s">
        <v>1080</v>
      </c>
      <c r="AA20" s="340">
        <f t="shared" si="2"/>
        <v>21</v>
      </c>
      <c r="AB20" s="461">
        <f t="shared" si="3"/>
        <v>1</v>
      </c>
      <c r="AC20" s="459" t="s">
        <v>471</v>
      </c>
      <c r="AD20" s="356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</row>
    <row r="21" spans="1:45" ht="20" hidden="1" customHeight="1">
      <c r="A21" s="289">
        <v>23005</v>
      </c>
      <c r="B21" s="530" t="s">
        <v>1107</v>
      </c>
      <c r="C21" s="284" t="s">
        <v>54</v>
      </c>
      <c r="D21" s="533" t="s">
        <v>1108</v>
      </c>
      <c r="E21" s="71">
        <v>21</v>
      </c>
      <c r="F21" s="76" t="s">
        <v>1080</v>
      </c>
      <c r="G21" s="76">
        <v>1</v>
      </c>
      <c r="H21" s="76">
        <v>0</v>
      </c>
      <c r="I21" s="76">
        <v>1</v>
      </c>
      <c r="J21" s="76">
        <v>1</v>
      </c>
      <c r="K21" s="76">
        <v>1</v>
      </c>
      <c r="L21" s="76">
        <v>1</v>
      </c>
      <c r="M21" s="308">
        <v>1</v>
      </c>
      <c r="N21" s="311">
        <v>1</v>
      </c>
      <c r="O21" s="76">
        <v>1</v>
      </c>
      <c r="P21" s="76">
        <v>1</v>
      </c>
      <c r="Q21" s="76">
        <v>1</v>
      </c>
      <c r="R21" s="76">
        <v>1</v>
      </c>
      <c r="S21" s="76">
        <v>1</v>
      </c>
      <c r="T21" s="76">
        <v>1</v>
      </c>
      <c r="U21" s="76">
        <v>1</v>
      </c>
      <c r="V21" s="76">
        <v>1</v>
      </c>
      <c r="W21" s="308">
        <v>1</v>
      </c>
      <c r="X21" s="422">
        <v>1</v>
      </c>
      <c r="Y21" s="76">
        <v>1</v>
      </c>
      <c r="Z21" s="76">
        <v>1</v>
      </c>
      <c r="AA21" s="340">
        <f t="shared" si="2"/>
        <v>21</v>
      </c>
      <c r="AB21" s="461">
        <v>1</v>
      </c>
      <c r="AC21" s="459" t="s">
        <v>471</v>
      </c>
      <c r="AD21" s="356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</row>
    <row r="22" spans="1:45" ht="20" hidden="1" customHeight="1">
      <c r="A22" s="289">
        <v>23014</v>
      </c>
      <c r="B22" s="530" t="s">
        <v>1109</v>
      </c>
      <c r="C22" s="536" t="s">
        <v>54</v>
      </c>
      <c r="D22" s="531" t="s">
        <v>1079</v>
      </c>
      <c r="E22" s="71">
        <v>22</v>
      </c>
      <c r="F22" s="76" t="s">
        <v>1080</v>
      </c>
      <c r="G22" s="76">
        <v>1</v>
      </c>
      <c r="H22" s="76" t="s">
        <v>1080</v>
      </c>
      <c r="I22" s="76">
        <v>1</v>
      </c>
      <c r="J22" s="76">
        <v>1</v>
      </c>
      <c r="K22" s="76">
        <v>1</v>
      </c>
      <c r="L22" s="76">
        <v>1</v>
      </c>
      <c r="M22" s="308">
        <v>1</v>
      </c>
      <c r="N22" s="311">
        <v>1</v>
      </c>
      <c r="O22" s="76">
        <v>1</v>
      </c>
      <c r="P22" s="76">
        <v>1</v>
      </c>
      <c r="Q22" s="76">
        <v>1</v>
      </c>
      <c r="R22" s="76">
        <v>1</v>
      </c>
      <c r="S22" s="76">
        <v>1</v>
      </c>
      <c r="T22" s="76">
        <v>1</v>
      </c>
      <c r="U22" s="76">
        <v>1</v>
      </c>
      <c r="V22" s="76">
        <v>1</v>
      </c>
      <c r="W22" s="308">
        <v>1</v>
      </c>
      <c r="X22" s="422">
        <v>1</v>
      </c>
      <c r="Y22" s="76">
        <v>1</v>
      </c>
      <c r="Z22" s="76">
        <v>1</v>
      </c>
      <c r="AA22" s="340">
        <f t="shared" ref="AA22:AA49" si="4">IF(B22="","",(COUNTA(F22:Z22)))</f>
        <v>21</v>
      </c>
      <c r="AB22" s="461">
        <f t="shared" ref="AB22:AB49" si="5">IF(B22="","",(AA22/COUNTA($F$6:$Z$6)))</f>
        <v>1</v>
      </c>
      <c r="AC22" s="459" t="s">
        <v>471</v>
      </c>
      <c r="AD22" s="356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</row>
    <row r="23" spans="1:45" ht="20" hidden="1" customHeight="1">
      <c r="A23" s="289">
        <v>23038</v>
      </c>
      <c r="B23" s="287" t="s">
        <v>1110</v>
      </c>
      <c r="C23" s="535" t="s">
        <v>85</v>
      </c>
      <c r="D23" s="288" t="s">
        <v>1098</v>
      </c>
      <c r="E23" s="71">
        <v>36</v>
      </c>
      <c r="F23" s="76" t="s">
        <v>1080</v>
      </c>
      <c r="G23" s="76">
        <v>1</v>
      </c>
      <c r="H23" s="76">
        <v>1</v>
      </c>
      <c r="I23" s="76">
        <v>1</v>
      </c>
      <c r="J23" s="76">
        <v>1</v>
      </c>
      <c r="K23" s="76">
        <v>1</v>
      </c>
      <c r="L23" s="76">
        <v>1</v>
      </c>
      <c r="M23" s="308">
        <v>1</v>
      </c>
      <c r="N23" s="311">
        <v>1</v>
      </c>
      <c r="O23" s="76">
        <v>1</v>
      </c>
      <c r="P23" s="76">
        <v>1</v>
      </c>
      <c r="Q23" s="76">
        <v>1</v>
      </c>
      <c r="R23" s="76">
        <v>1</v>
      </c>
      <c r="S23" s="76">
        <v>1</v>
      </c>
      <c r="T23" s="76">
        <v>1</v>
      </c>
      <c r="U23" s="76">
        <v>1</v>
      </c>
      <c r="V23" s="76">
        <v>1</v>
      </c>
      <c r="W23" s="308">
        <v>1</v>
      </c>
      <c r="X23" s="422">
        <v>1</v>
      </c>
      <c r="Y23" s="76">
        <v>1</v>
      </c>
      <c r="Z23" s="76" t="s">
        <v>1080</v>
      </c>
      <c r="AA23" s="340">
        <f t="shared" si="4"/>
        <v>21</v>
      </c>
      <c r="AB23" s="461">
        <f t="shared" si="5"/>
        <v>1</v>
      </c>
      <c r="AC23" s="459" t="s">
        <v>471</v>
      </c>
      <c r="AD23" s="356" t="s">
        <v>1111</v>
      </c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2"/>
    </row>
    <row r="24" spans="1:45" ht="20" hidden="1" customHeight="1">
      <c r="A24" s="289">
        <v>23040</v>
      </c>
      <c r="B24" s="287" t="s">
        <v>1112</v>
      </c>
      <c r="C24" s="288" t="s">
        <v>59</v>
      </c>
      <c r="D24" s="288" t="s">
        <v>1098</v>
      </c>
      <c r="E24" s="71">
        <v>27</v>
      </c>
      <c r="F24" s="76" t="s">
        <v>1080</v>
      </c>
      <c r="G24" s="76" t="s">
        <v>1080</v>
      </c>
      <c r="H24" s="76" t="s">
        <v>1080</v>
      </c>
      <c r="I24" s="76">
        <v>1</v>
      </c>
      <c r="J24" s="76">
        <v>1</v>
      </c>
      <c r="K24" s="76" t="s">
        <v>1080</v>
      </c>
      <c r="L24" s="76">
        <v>1</v>
      </c>
      <c r="M24" s="308">
        <v>1</v>
      </c>
      <c r="N24" s="311">
        <v>1</v>
      </c>
      <c r="O24" s="76">
        <v>1</v>
      </c>
      <c r="P24" s="76">
        <v>1</v>
      </c>
      <c r="Q24" s="76">
        <v>1</v>
      </c>
      <c r="R24" s="76">
        <v>1</v>
      </c>
      <c r="S24" s="76">
        <v>1</v>
      </c>
      <c r="T24" s="76">
        <v>1</v>
      </c>
      <c r="U24" s="76">
        <v>1</v>
      </c>
      <c r="V24" s="76" t="s">
        <v>1080</v>
      </c>
      <c r="W24" s="308">
        <v>1</v>
      </c>
      <c r="X24" s="422">
        <v>1</v>
      </c>
      <c r="Y24" s="76">
        <v>1</v>
      </c>
      <c r="Z24" s="76">
        <v>1</v>
      </c>
      <c r="AA24" s="340">
        <f t="shared" si="4"/>
        <v>21</v>
      </c>
      <c r="AB24" s="461">
        <f t="shared" si="5"/>
        <v>1</v>
      </c>
      <c r="AC24" s="459" t="s">
        <v>471</v>
      </c>
      <c r="AD24" s="356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</row>
    <row r="25" spans="1:45" ht="20" hidden="1" customHeight="1">
      <c r="A25" s="289">
        <v>23043</v>
      </c>
      <c r="B25" s="287" t="s">
        <v>1113</v>
      </c>
      <c r="C25" s="288" t="s">
        <v>59</v>
      </c>
      <c r="D25" s="288" t="s">
        <v>1098</v>
      </c>
      <c r="E25" s="71">
        <v>50</v>
      </c>
      <c r="F25" s="76" t="s">
        <v>1080</v>
      </c>
      <c r="G25" s="76">
        <v>1</v>
      </c>
      <c r="H25" s="76" t="s">
        <v>1080</v>
      </c>
      <c r="I25" s="76">
        <v>1</v>
      </c>
      <c r="J25" s="76">
        <v>1</v>
      </c>
      <c r="K25" s="76">
        <v>1</v>
      </c>
      <c r="L25" s="76">
        <v>1</v>
      </c>
      <c r="M25" s="308">
        <v>1</v>
      </c>
      <c r="N25" s="311">
        <v>1</v>
      </c>
      <c r="O25" s="76">
        <v>1</v>
      </c>
      <c r="P25" s="76">
        <v>1</v>
      </c>
      <c r="Q25" s="76">
        <v>1</v>
      </c>
      <c r="R25" s="76">
        <v>1</v>
      </c>
      <c r="S25" s="76">
        <v>1</v>
      </c>
      <c r="T25" s="76">
        <v>1</v>
      </c>
      <c r="U25" s="76">
        <v>1</v>
      </c>
      <c r="V25" s="76">
        <v>1</v>
      </c>
      <c r="W25" s="308">
        <v>1</v>
      </c>
      <c r="X25" s="422" t="s">
        <v>1080</v>
      </c>
      <c r="Y25" s="76">
        <v>1</v>
      </c>
      <c r="Z25" s="76" t="s">
        <v>1080</v>
      </c>
      <c r="AA25" s="340">
        <f t="shared" si="4"/>
        <v>21</v>
      </c>
      <c r="AB25" s="461">
        <f t="shared" si="5"/>
        <v>1</v>
      </c>
      <c r="AC25" s="459" t="s">
        <v>471</v>
      </c>
      <c r="AD25" s="76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</row>
    <row r="26" spans="1:45" ht="20" hidden="1" customHeight="1">
      <c r="A26" s="289">
        <v>23049</v>
      </c>
      <c r="B26" s="287" t="s">
        <v>1114</v>
      </c>
      <c r="C26" s="288" t="s">
        <v>59</v>
      </c>
      <c r="D26" s="288" t="s">
        <v>1083</v>
      </c>
      <c r="E26" s="71">
        <v>43</v>
      </c>
      <c r="F26" s="76" t="s">
        <v>1080</v>
      </c>
      <c r="G26" s="76" t="s">
        <v>1080</v>
      </c>
      <c r="H26" s="76">
        <v>1</v>
      </c>
      <c r="I26" s="76">
        <v>1</v>
      </c>
      <c r="J26" s="76">
        <v>1</v>
      </c>
      <c r="K26" s="76">
        <v>1</v>
      </c>
      <c r="L26" s="76">
        <v>1</v>
      </c>
      <c r="M26" s="308">
        <v>1</v>
      </c>
      <c r="N26" s="311">
        <v>1</v>
      </c>
      <c r="O26" s="76">
        <v>1</v>
      </c>
      <c r="P26" s="76">
        <v>1</v>
      </c>
      <c r="Q26" s="76">
        <v>1</v>
      </c>
      <c r="R26" s="76">
        <v>1</v>
      </c>
      <c r="S26" s="76">
        <v>1</v>
      </c>
      <c r="T26" s="76">
        <v>1</v>
      </c>
      <c r="U26" s="76">
        <v>1</v>
      </c>
      <c r="V26" s="76">
        <v>1</v>
      </c>
      <c r="W26" s="308">
        <v>1</v>
      </c>
      <c r="X26" s="422">
        <v>1</v>
      </c>
      <c r="Y26" s="76">
        <v>1</v>
      </c>
      <c r="Z26" s="76" t="s">
        <v>1080</v>
      </c>
      <c r="AA26" s="340">
        <f t="shared" si="4"/>
        <v>21</v>
      </c>
      <c r="AB26" s="461">
        <f t="shared" si="5"/>
        <v>1</v>
      </c>
      <c r="AC26" s="459" t="s">
        <v>471</v>
      </c>
      <c r="AD26" s="356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</row>
    <row r="27" spans="1:45" ht="20" hidden="1" customHeight="1">
      <c r="A27" s="289">
        <v>23050</v>
      </c>
      <c r="B27" s="287" t="s">
        <v>1115</v>
      </c>
      <c r="C27" s="288" t="s">
        <v>44</v>
      </c>
      <c r="D27" s="288" t="s">
        <v>1083</v>
      </c>
      <c r="E27" s="71">
        <v>47</v>
      </c>
      <c r="F27" s="76" t="s">
        <v>1080</v>
      </c>
      <c r="G27" s="76" t="s">
        <v>1080</v>
      </c>
      <c r="H27" s="76" t="s">
        <v>1080</v>
      </c>
      <c r="I27" s="76">
        <v>1</v>
      </c>
      <c r="J27" s="76">
        <v>1</v>
      </c>
      <c r="K27" s="76">
        <v>1</v>
      </c>
      <c r="L27" s="76">
        <v>1</v>
      </c>
      <c r="M27" s="308">
        <v>1</v>
      </c>
      <c r="N27" s="311">
        <v>1</v>
      </c>
      <c r="O27" s="76">
        <v>1</v>
      </c>
      <c r="P27" s="76">
        <v>1</v>
      </c>
      <c r="Q27" s="76">
        <v>1</v>
      </c>
      <c r="R27" s="76">
        <v>1</v>
      </c>
      <c r="S27" s="76">
        <v>1</v>
      </c>
      <c r="T27" s="76">
        <v>1</v>
      </c>
      <c r="U27" s="76">
        <v>1</v>
      </c>
      <c r="V27" s="76" t="s">
        <v>1080</v>
      </c>
      <c r="W27" s="308">
        <v>1</v>
      </c>
      <c r="X27" s="422">
        <v>1</v>
      </c>
      <c r="Y27" s="76">
        <v>1</v>
      </c>
      <c r="Z27" s="76" t="s">
        <v>1080</v>
      </c>
      <c r="AA27" s="340">
        <f t="shared" si="4"/>
        <v>21</v>
      </c>
      <c r="AB27" s="461">
        <f t="shared" si="5"/>
        <v>1</v>
      </c>
      <c r="AC27" s="459" t="s">
        <v>471</v>
      </c>
      <c r="AD27" s="356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</row>
    <row r="28" spans="1:45" ht="20" hidden="1" customHeight="1">
      <c r="A28" s="289">
        <v>23053</v>
      </c>
      <c r="B28" s="287" t="s">
        <v>1116</v>
      </c>
      <c r="C28" s="288" t="s">
        <v>44</v>
      </c>
      <c r="D28" s="288" t="s">
        <v>1098</v>
      </c>
      <c r="E28" s="71">
        <v>4</v>
      </c>
      <c r="F28" s="76" t="s">
        <v>1080</v>
      </c>
      <c r="G28" s="76">
        <v>1</v>
      </c>
      <c r="H28" s="76">
        <v>1</v>
      </c>
      <c r="I28" s="76">
        <v>1</v>
      </c>
      <c r="J28" s="76">
        <v>1</v>
      </c>
      <c r="K28" s="76">
        <v>1</v>
      </c>
      <c r="L28" s="76">
        <v>1</v>
      </c>
      <c r="M28" s="308">
        <v>1</v>
      </c>
      <c r="N28" s="311">
        <v>1</v>
      </c>
      <c r="O28" s="76" t="s">
        <v>192</v>
      </c>
      <c r="P28" s="76">
        <v>1</v>
      </c>
      <c r="Q28" s="76">
        <v>1</v>
      </c>
      <c r="R28" s="76">
        <v>1</v>
      </c>
      <c r="S28" s="76">
        <v>1</v>
      </c>
      <c r="T28" s="76">
        <v>1</v>
      </c>
      <c r="U28" s="76">
        <v>1</v>
      </c>
      <c r="V28" s="76" t="s">
        <v>1080</v>
      </c>
      <c r="W28" s="308">
        <v>1</v>
      </c>
      <c r="X28" s="422">
        <v>1</v>
      </c>
      <c r="Y28" s="76">
        <v>1</v>
      </c>
      <c r="Z28" s="76">
        <v>1</v>
      </c>
      <c r="AA28" s="340">
        <f t="shared" si="4"/>
        <v>21</v>
      </c>
      <c r="AB28" s="461">
        <f t="shared" si="5"/>
        <v>1</v>
      </c>
      <c r="AC28" s="459" t="s">
        <v>471</v>
      </c>
      <c r="AD28" s="76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</row>
    <row r="29" spans="1:45" ht="20" hidden="1" customHeight="1">
      <c r="A29" s="289">
        <v>23057</v>
      </c>
      <c r="B29" s="287" t="s">
        <v>1117</v>
      </c>
      <c r="C29" s="288" t="s">
        <v>1090</v>
      </c>
      <c r="D29" s="288" t="s">
        <v>1083</v>
      </c>
      <c r="E29" s="385">
        <f>Prosjektliste_Prodplan!H29</f>
        <v>4</v>
      </c>
      <c r="F29" s="76" t="s">
        <v>1080</v>
      </c>
      <c r="G29" s="76">
        <v>1</v>
      </c>
      <c r="H29" s="76">
        <v>1</v>
      </c>
      <c r="I29" s="76">
        <v>1</v>
      </c>
      <c r="J29" s="76">
        <v>1</v>
      </c>
      <c r="K29" s="76">
        <v>1</v>
      </c>
      <c r="L29" s="76">
        <v>1</v>
      </c>
      <c r="M29" s="308">
        <v>1</v>
      </c>
      <c r="N29" s="311">
        <v>1</v>
      </c>
      <c r="O29" s="76">
        <v>1</v>
      </c>
      <c r="P29" s="76">
        <v>1</v>
      </c>
      <c r="Q29" s="76">
        <v>1</v>
      </c>
      <c r="R29" s="76">
        <v>1</v>
      </c>
      <c r="S29" s="76">
        <v>1</v>
      </c>
      <c r="T29" s="76">
        <v>1</v>
      </c>
      <c r="U29" s="76">
        <v>1</v>
      </c>
      <c r="V29" s="76">
        <v>1</v>
      </c>
      <c r="W29" s="308">
        <v>1</v>
      </c>
      <c r="X29" s="422">
        <v>1</v>
      </c>
      <c r="Y29" s="76">
        <v>1</v>
      </c>
      <c r="Z29" s="76" t="s">
        <v>1080</v>
      </c>
      <c r="AA29" s="340">
        <f t="shared" si="4"/>
        <v>21</v>
      </c>
      <c r="AB29" s="461">
        <f t="shared" si="5"/>
        <v>1</v>
      </c>
      <c r="AC29" s="459" t="s">
        <v>471</v>
      </c>
      <c r="AD29" s="356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</row>
    <row r="30" spans="1:45" ht="20" hidden="1" customHeight="1">
      <c r="A30" s="286">
        <v>23068</v>
      </c>
      <c r="B30" s="287" t="s">
        <v>1118</v>
      </c>
      <c r="C30" s="287" t="s">
        <v>59</v>
      </c>
      <c r="D30" s="287" t="s">
        <v>1086</v>
      </c>
      <c r="E30" s="71">
        <v>7</v>
      </c>
      <c r="F30" s="76" t="s">
        <v>1080</v>
      </c>
      <c r="G30" s="76" t="s">
        <v>1080</v>
      </c>
      <c r="H30" s="376">
        <v>1</v>
      </c>
      <c r="I30" s="377">
        <v>1</v>
      </c>
      <c r="J30" s="377">
        <v>1</v>
      </c>
      <c r="K30" s="377" t="s">
        <v>1080</v>
      </c>
      <c r="L30" s="377">
        <v>1</v>
      </c>
      <c r="M30" s="378">
        <v>1</v>
      </c>
      <c r="N30" s="379">
        <v>1</v>
      </c>
      <c r="O30" s="377">
        <v>1</v>
      </c>
      <c r="P30" s="377">
        <v>1</v>
      </c>
      <c r="Q30" s="377">
        <v>1</v>
      </c>
      <c r="R30" s="377">
        <v>1</v>
      </c>
      <c r="S30" s="377">
        <v>1</v>
      </c>
      <c r="T30" s="377">
        <v>1</v>
      </c>
      <c r="U30" s="377">
        <v>1</v>
      </c>
      <c r="V30" s="377" t="s">
        <v>1080</v>
      </c>
      <c r="W30" s="378">
        <v>1</v>
      </c>
      <c r="X30" s="423">
        <v>1</v>
      </c>
      <c r="Y30" s="377">
        <v>1</v>
      </c>
      <c r="Z30" s="378">
        <v>1</v>
      </c>
      <c r="AA30" s="340">
        <f t="shared" si="4"/>
        <v>21</v>
      </c>
      <c r="AB30" s="461">
        <f t="shared" si="5"/>
        <v>1</v>
      </c>
      <c r="AC30" s="460" t="s">
        <v>471</v>
      </c>
      <c r="AD30" s="380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</row>
    <row r="31" spans="1:45" ht="20" hidden="1" customHeight="1">
      <c r="A31" s="286">
        <v>23023</v>
      </c>
      <c r="B31" s="287" t="s">
        <v>1119</v>
      </c>
      <c r="C31" s="287" t="s">
        <v>59</v>
      </c>
      <c r="D31" s="287" t="s">
        <v>1086</v>
      </c>
      <c r="E31" s="71">
        <v>37</v>
      </c>
      <c r="F31" s="76" t="s">
        <v>1080</v>
      </c>
      <c r="G31" s="376" t="s">
        <v>1080</v>
      </c>
      <c r="H31" s="376">
        <v>1</v>
      </c>
      <c r="I31" s="377">
        <v>1</v>
      </c>
      <c r="J31" s="377">
        <v>1</v>
      </c>
      <c r="K31" s="377" t="s">
        <v>1080</v>
      </c>
      <c r="L31" s="377">
        <v>1</v>
      </c>
      <c r="M31" s="378">
        <v>1</v>
      </c>
      <c r="N31" s="379">
        <v>1</v>
      </c>
      <c r="O31" s="377">
        <v>1</v>
      </c>
      <c r="P31" s="377">
        <v>1</v>
      </c>
      <c r="Q31" s="377">
        <v>1</v>
      </c>
      <c r="R31" s="377">
        <v>1</v>
      </c>
      <c r="S31" s="377">
        <v>1</v>
      </c>
      <c r="T31" s="377">
        <v>1</v>
      </c>
      <c r="U31" s="377">
        <v>1</v>
      </c>
      <c r="V31" s="377">
        <v>1</v>
      </c>
      <c r="W31" s="378">
        <v>1</v>
      </c>
      <c r="X31" s="423">
        <v>1</v>
      </c>
      <c r="Y31" s="377">
        <v>1</v>
      </c>
      <c r="Z31" s="378">
        <v>1</v>
      </c>
      <c r="AA31" s="340">
        <f t="shared" si="4"/>
        <v>21</v>
      </c>
      <c r="AB31" s="461">
        <f t="shared" si="5"/>
        <v>1</v>
      </c>
      <c r="AC31" s="460" t="s">
        <v>471</v>
      </c>
      <c r="AD31" s="380" t="s">
        <v>1120</v>
      </c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</row>
    <row r="32" spans="1:45" ht="20" hidden="1" customHeight="1">
      <c r="A32" s="286">
        <v>23036</v>
      </c>
      <c r="B32" s="287" t="s">
        <v>1121</v>
      </c>
      <c r="C32" s="287" t="s">
        <v>59</v>
      </c>
      <c r="D32" s="287" t="s">
        <v>1083</v>
      </c>
      <c r="E32" s="385">
        <v>22</v>
      </c>
      <c r="F32" s="76" t="s">
        <v>1080</v>
      </c>
      <c r="G32" s="376"/>
      <c r="H32" s="376">
        <v>1</v>
      </c>
      <c r="I32" s="377"/>
      <c r="J32" s="377"/>
      <c r="K32" s="377"/>
      <c r="L32" s="377"/>
      <c r="M32" s="378"/>
      <c r="N32" s="379">
        <v>1</v>
      </c>
      <c r="O32" s="377">
        <v>1</v>
      </c>
      <c r="P32" s="377"/>
      <c r="Q32" s="377"/>
      <c r="R32" s="377"/>
      <c r="S32" s="377"/>
      <c r="T32" s="377"/>
      <c r="U32" s="377"/>
      <c r="V32" s="377"/>
      <c r="W32" s="378"/>
      <c r="X32" s="423"/>
      <c r="Y32" s="377"/>
      <c r="Z32" s="378"/>
      <c r="AA32" s="340">
        <f t="shared" si="4"/>
        <v>4</v>
      </c>
      <c r="AB32" s="461">
        <f t="shared" si="5"/>
        <v>0.19047619047619047</v>
      </c>
      <c r="AC32" s="460" t="s">
        <v>471</v>
      </c>
      <c r="AD32" s="380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</row>
    <row r="33" spans="1:45" ht="20" hidden="1" customHeight="1" thickBot="1">
      <c r="A33" s="286">
        <v>23042</v>
      </c>
      <c r="B33" s="287" t="s">
        <v>1122</v>
      </c>
      <c r="C33" s="287" t="s">
        <v>1123</v>
      </c>
      <c r="D33" s="287" t="s">
        <v>1083</v>
      </c>
      <c r="E33" s="71">
        <v>20</v>
      </c>
      <c r="F33" s="76" t="s">
        <v>1080</v>
      </c>
      <c r="G33" s="76">
        <v>1</v>
      </c>
      <c r="H33" s="376" t="s">
        <v>1080</v>
      </c>
      <c r="I33" s="377">
        <v>1</v>
      </c>
      <c r="J33" s="377">
        <v>1</v>
      </c>
      <c r="K33" s="377">
        <v>1</v>
      </c>
      <c r="L33" s="377">
        <v>1</v>
      </c>
      <c r="M33" s="378">
        <v>1</v>
      </c>
      <c r="N33" s="379">
        <v>1</v>
      </c>
      <c r="O33" s="377">
        <v>1</v>
      </c>
      <c r="P33" s="377">
        <v>1</v>
      </c>
      <c r="Q33" s="377">
        <v>1</v>
      </c>
      <c r="R33" s="377">
        <v>1</v>
      </c>
      <c r="S33" s="377">
        <v>1</v>
      </c>
      <c r="T33" s="377">
        <v>1</v>
      </c>
      <c r="U33" s="377">
        <v>1</v>
      </c>
      <c r="V33" s="377">
        <v>1</v>
      </c>
      <c r="W33" s="378">
        <v>1</v>
      </c>
      <c r="X33" s="423">
        <v>1</v>
      </c>
      <c r="Y33" s="377">
        <v>1</v>
      </c>
      <c r="Z33" s="378">
        <v>1</v>
      </c>
      <c r="AA33" s="340">
        <f t="shared" si="4"/>
        <v>21</v>
      </c>
      <c r="AB33" s="461">
        <f t="shared" si="5"/>
        <v>1</v>
      </c>
      <c r="AC33" s="460" t="s">
        <v>471</v>
      </c>
      <c r="AD33" s="380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</row>
    <row r="34" spans="1:45" ht="20" hidden="1" customHeight="1">
      <c r="A34" s="286">
        <v>23054</v>
      </c>
      <c r="B34" s="530" t="s">
        <v>1124</v>
      </c>
      <c r="C34" s="285" t="s">
        <v>54</v>
      </c>
      <c r="D34" s="531" t="s">
        <v>1125</v>
      </c>
      <c r="E34" s="71">
        <v>17</v>
      </c>
      <c r="F34" s="76" t="s">
        <v>1080</v>
      </c>
      <c r="G34" s="376">
        <v>1</v>
      </c>
      <c r="H34" s="376">
        <v>1</v>
      </c>
      <c r="I34" s="377">
        <v>1</v>
      </c>
      <c r="J34" s="377">
        <v>1</v>
      </c>
      <c r="K34" s="377">
        <v>1</v>
      </c>
      <c r="L34" s="377">
        <v>1</v>
      </c>
      <c r="M34" s="378">
        <v>1</v>
      </c>
      <c r="N34" s="379">
        <v>1</v>
      </c>
      <c r="O34" s="377">
        <v>1</v>
      </c>
      <c r="P34" s="377">
        <v>1</v>
      </c>
      <c r="Q34" s="377">
        <v>1</v>
      </c>
      <c r="R34" s="377">
        <v>1</v>
      </c>
      <c r="S34" s="377">
        <v>1</v>
      </c>
      <c r="T34" s="377">
        <v>1</v>
      </c>
      <c r="U34" s="377">
        <v>0</v>
      </c>
      <c r="V34" s="377">
        <v>0</v>
      </c>
      <c r="W34" s="378">
        <v>1</v>
      </c>
      <c r="X34" s="423">
        <v>1</v>
      </c>
      <c r="Y34" s="377">
        <v>1</v>
      </c>
      <c r="Z34" s="378">
        <v>1</v>
      </c>
      <c r="AA34" s="340">
        <f t="shared" si="4"/>
        <v>21</v>
      </c>
      <c r="AB34" s="461">
        <f t="shared" si="5"/>
        <v>1</v>
      </c>
      <c r="AC34" s="460" t="s">
        <v>471</v>
      </c>
      <c r="AD34" s="380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</row>
    <row r="35" spans="1:45" ht="20" hidden="1" customHeight="1">
      <c r="A35" s="286">
        <v>23055</v>
      </c>
      <c r="B35" s="530" t="s">
        <v>1126</v>
      </c>
      <c r="C35" s="287" t="s">
        <v>54</v>
      </c>
      <c r="D35" s="531" t="s">
        <v>1108</v>
      </c>
      <c r="E35" s="71">
        <v>23</v>
      </c>
      <c r="F35" s="76" t="s">
        <v>1080</v>
      </c>
      <c r="G35" s="376">
        <v>1</v>
      </c>
      <c r="H35" s="376" t="s">
        <v>1080</v>
      </c>
      <c r="I35" s="377">
        <v>1</v>
      </c>
      <c r="J35" s="377">
        <v>1</v>
      </c>
      <c r="K35" s="377">
        <v>1</v>
      </c>
      <c r="L35" s="377">
        <v>1</v>
      </c>
      <c r="M35" s="378">
        <v>1</v>
      </c>
      <c r="N35" s="379">
        <v>1</v>
      </c>
      <c r="O35" s="377">
        <v>1</v>
      </c>
      <c r="P35" s="377">
        <v>1</v>
      </c>
      <c r="Q35" s="377">
        <v>1</v>
      </c>
      <c r="R35" s="377">
        <v>1</v>
      </c>
      <c r="S35" s="377">
        <v>1</v>
      </c>
      <c r="T35" s="377">
        <v>1</v>
      </c>
      <c r="U35" s="377">
        <v>1</v>
      </c>
      <c r="V35" s="377">
        <v>0</v>
      </c>
      <c r="W35" s="378">
        <v>1</v>
      </c>
      <c r="X35" s="423">
        <v>1</v>
      </c>
      <c r="Y35" s="377">
        <v>1</v>
      </c>
      <c r="Z35" s="378">
        <v>1</v>
      </c>
      <c r="AA35" s="340">
        <f t="shared" si="4"/>
        <v>21</v>
      </c>
      <c r="AB35" s="461">
        <f t="shared" si="5"/>
        <v>1</v>
      </c>
      <c r="AC35" s="460" t="s">
        <v>79</v>
      </c>
      <c r="AD35" s="380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2"/>
      <c r="AQ35" s="152"/>
      <c r="AR35" s="152"/>
      <c r="AS35" s="152"/>
    </row>
    <row r="36" spans="1:45" ht="20" hidden="1" customHeight="1">
      <c r="A36" s="286">
        <v>23073</v>
      </c>
      <c r="B36" s="530" t="s">
        <v>1127</v>
      </c>
      <c r="C36" s="288" t="s">
        <v>54</v>
      </c>
      <c r="D36" s="531" t="s">
        <v>1083</v>
      </c>
      <c r="E36" s="71">
        <v>22</v>
      </c>
      <c r="F36" s="76">
        <v>0</v>
      </c>
      <c r="G36" s="376">
        <v>1</v>
      </c>
      <c r="H36" s="376">
        <v>1</v>
      </c>
      <c r="I36" s="377">
        <v>1</v>
      </c>
      <c r="J36" s="377">
        <v>1</v>
      </c>
      <c r="K36" s="377">
        <v>1</v>
      </c>
      <c r="L36" s="377">
        <v>1</v>
      </c>
      <c r="M36" s="378">
        <v>1</v>
      </c>
      <c r="N36" s="379">
        <v>1</v>
      </c>
      <c r="O36" s="377">
        <v>1</v>
      </c>
      <c r="P36" s="377">
        <v>1</v>
      </c>
      <c r="Q36" s="377">
        <v>1</v>
      </c>
      <c r="R36" s="377">
        <v>1</v>
      </c>
      <c r="S36" s="377">
        <v>1</v>
      </c>
      <c r="T36" s="377">
        <v>1</v>
      </c>
      <c r="U36" s="377">
        <v>1</v>
      </c>
      <c r="V36" s="377">
        <v>1</v>
      </c>
      <c r="W36" s="378">
        <v>1</v>
      </c>
      <c r="X36" s="423">
        <v>1</v>
      </c>
      <c r="Y36" s="377">
        <v>1</v>
      </c>
      <c r="Z36" s="378">
        <v>1</v>
      </c>
      <c r="AA36" s="340">
        <f t="shared" si="4"/>
        <v>21</v>
      </c>
      <c r="AB36" s="461">
        <f t="shared" si="5"/>
        <v>1</v>
      </c>
      <c r="AC36" s="460" t="s">
        <v>79</v>
      </c>
      <c r="AD36" s="380"/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  <c r="AS36" s="152"/>
    </row>
    <row r="37" spans="1:45" ht="20" hidden="1" customHeight="1" thickBot="1">
      <c r="A37" s="286">
        <v>23080</v>
      </c>
      <c r="B37" s="287" t="s">
        <v>1128</v>
      </c>
      <c r="C37" s="290" t="s">
        <v>1090</v>
      </c>
      <c r="D37" s="287"/>
      <c r="E37" s="71">
        <v>23</v>
      </c>
      <c r="F37" s="76"/>
      <c r="G37" s="376">
        <v>1</v>
      </c>
      <c r="H37" s="376">
        <v>1</v>
      </c>
      <c r="I37" s="377">
        <v>1</v>
      </c>
      <c r="J37" s="377">
        <v>1</v>
      </c>
      <c r="K37" s="377">
        <v>1</v>
      </c>
      <c r="L37" s="377">
        <v>1</v>
      </c>
      <c r="M37" s="378">
        <v>1</v>
      </c>
      <c r="N37" s="379">
        <v>1</v>
      </c>
      <c r="O37" s="377">
        <v>1</v>
      </c>
      <c r="P37" s="377">
        <v>1</v>
      </c>
      <c r="Q37" s="377">
        <v>1</v>
      </c>
      <c r="R37" s="377">
        <v>1</v>
      </c>
      <c r="S37" s="377">
        <v>1</v>
      </c>
      <c r="T37" s="377">
        <v>1</v>
      </c>
      <c r="U37" s="377">
        <v>1</v>
      </c>
      <c r="V37" s="377">
        <v>1</v>
      </c>
      <c r="W37" s="378">
        <v>1</v>
      </c>
      <c r="X37" s="423"/>
      <c r="Y37" s="377"/>
      <c r="Z37" s="378"/>
      <c r="AA37" s="340">
        <f t="shared" si="4"/>
        <v>17</v>
      </c>
      <c r="AB37" s="461">
        <f t="shared" si="5"/>
        <v>0.80952380952380953</v>
      </c>
      <c r="AC37" s="460" t="s">
        <v>471</v>
      </c>
      <c r="AD37" s="380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</row>
    <row r="38" spans="1:45" ht="20" hidden="1" customHeight="1">
      <c r="A38" s="286">
        <v>23081</v>
      </c>
      <c r="B38" s="530" t="s">
        <v>1129</v>
      </c>
      <c r="C38" s="284" t="s">
        <v>54</v>
      </c>
      <c r="D38" s="531" t="s">
        <v>1083</v>
      </c>
      <c r="E38" s="71">
        <v>20</v>
      </c>
      <c r="F38" s="76" t="s">
        <v>1080</v>
      </c>
      <c r="G38" s="376">
        <v>1</v>
      </c>
      <c r="H38" s="376">
        <v>1</v>
      </c>
      <c r="I38" s="377">
        <v>1</v>
      </c>
      <c r="J38" s="377">
        <v>1</v>
      </c>
      <c r="K38" s="377">
        <v>1</v>
      </c>
      <c r="L38" s="377">
        <v>1</v>
      </c>
      <c r="M38" s="378">
        <v>1</v>
      </c>
      <c r="N38" s="379">
        <v>1</v>
      </c>
      <c r="O38" s="377">
        <v>1</v>
      </c>
      <c r="P38" s="377">
        <v>1</v>
      </c>
      <c r="Q38" s="377">
        <v>1</v>
      </c>
      <c r="R38" s="377">
        <v>1</v>
      </c>
      <c r="S38" s="377">
        <v>1</v>
      </c>
      <c r="T38" s="377">
        <v>1</v>
      </c>
      <c r="U38" s="377">
        <v>1</v>
      </c>
      <c r="V38" s="377" t="s">
        <v>1080</v>
      </c>
      <c r="W38" s="378">
        <v>1</v>
      </c>
      <c r="X38" s="423">
        <v>1</v>
      </c>
      <c r="Y38" s="377">
        <v>1</v>
      </c>
      <c r="Z38" s="378">
        <v>1</v>
      </c>
      <c r="AA38" s="340">
        <f t="shared" si="4"/>
        <v>21</v>
      </c>
      <c r="AB38" s="461">
        <f t="shared" si="5"/>
        <v>1</v>
      </c>
      <c r="AC38" s="460" t="s">
        <v>471</v>
      </c>
      <c r="AD38" s="380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</row>
    <row r="39" spans="1:45" ht="20" customHeight="1" thickBot="1">
      <c r="A39" s="286">
        <v>23090</v>
      </c>
      <c r="B39" s="530" t="s">
        <v>1130</v>
      </c>
      <c r="C39" s="288" t="s">
        <v>54</v>
      </c>
      <c r="D39" s="531" t="s">
        <v>1098</v>
      </c>
      <c r="E39" s="71"/>
      <c r="F39" s="76"/>
      <c r="G39" s="376">
        <v>1</v>
      </c>
      <c r="H39" s="376">
        <v>1</v>
      </c>
      <c r="I39" s="377">
        <v>1</v>
      </c>
      <c r="J39" s="377">
        <v>1</v>
      </c>
      <c r="K39" s="377">
        <v>1</v>
      </c>
      <c r="L39" s="377">
        <v>1</v>
      </c>
      <c r="M39" s="378">
        <v>1</v>
      </c>
      <c r="N39" s="379">
        <v>1</v>
      </c>
      <c r="O39" s="377">
        <v>1</v>
      </c>
      <c r="P39" s="377">
        <v>1</v>
      </c>
      <c r="Q39" s="377">
        <v>1</v>
      </c>
      <c r="R39" s="377">
        <v>1</v>
      </c>
      <c r="S39" s="377">
        <v>1</v>
      </c>
      <c r="T39" s="377">
        <v>1</v>
      </c>
      <c r="U39" s="377">
        <v>1</v>
      </c>
      <c r="V39" s="377">
        <v>1</v>
      </c>
      <c r="W39" s="378">
        <v>1</v>
      </c>
      <c r="X39" s="423"/>
      <c r="Y39" s="377"/>
      <c r="Z39" s="378"/>
      <c r="AA39" s="340">
        <f t="shared" si="4"/>
        <v>17</v>
      </c>
      <c r="AB39" s="461">
        <f t="shared" si="5"/>
        <v>0.80952380952380953</v>
      </c>
      <c r="AC39" s="460"/>
      <c r="AD39" s="380"/>
      <c r="AE39" s="152"/>
      <c r="AF39" s="152"/>
      <c r="AG39" s="152"/>
      <c r="AH39" s="152"/>
      <c r="AI39" s="152"/>
      <c r="AJ39" s="152"/>
      <c r="AK39" s="152"/>
      <c r="AL39" s="152"/>
      <c r="AM39" s="152"/>
      <c r="AN39" s="152"/>
      <c r="AO39" s="152"/>
      <c r="AP39" s="152"/>
      <c r="AQ39" s="152"/>
      <c r="AR39" s="152"/>
      <c r="AS39" s="152"/>
    </row>
    <row r="40" spans="1:45" ht="20" hidden="1" customHeight="1">
      <c r="A40" s="286">
        <v>23096</v>
      </c>
      <c r="B40" s="287" t="s">
        <v>1131</v>
      </c>
      <c r="C40" s="290" t="s">
        <v>1132</v>
      </c>
      <c r="D40" s="287"/>
      <c r="E40" s="71">
        <v>13</v>
      </c>
      <c r="F40" s="76" t="s">
        <v>1080</v>
      </c>
      <c r="G40" s="376" t="s">
        <v>1080</v>
      </c>
      <c r="H40" s="376">
        <v>1</v>
      </c>
      <c r="I40" s="377">
        <v>1</v>
      </c>
      <c r="J40" s="377">
        <v>1</v>
      </c>
      <c r="K40" s="377" t="s">
        <v>1080</v>
      </c>
      <c r="L40" s="377">
        <v>1</v>
      </c>
      <c r="M40" s="378">
        <v>1</v>
      </c>
      <c r="N40" s="379">
        <v>1</v>
      </c>
      <c r="O40" s="377">
        <v>1</v>
      </c>
      <c r="P40" s="377">
        <v>1</v>
      </c>
      <c r="Q40" s="377">
        <v>1</v>
      </c>
      <c r="R40" s="377">
        <v>1</v>
      </c>
      <c r="S40" s="377">
        <v>1</v>
      </c>
      <c r="T40" s="377">
        <v>1</v>
      </c>
      <c r="U40" s="377">
        <v>1</v>
      </c>
      <c r="V40" s="377" t="s">
        <v>1080</v>
      </c>
      <c r="W40" s="378">
        <v>1</v>
      </c>
      <c r="X40" s="423"/>
      <c r="Y40" s="377"/>
      <c r="Z40" s="378">
        <v>1</v>
      </c>
      <c r="AA40" s="340">
        <f t="shared" si="4"/>
        <v>19</v>
      </c>
      <c r="AB40" s="461">
        <f t="shared" si="5"/>
        <v>0.90476190476190477</v>
      </c>
      <c r="AC40" s="460" t="s">
        <v>471</v>
      </c>
      <c r="AD40" s="380"/>
      <c r="AE40" s="152"/>
      <c r="AF40" s="152"/>
      <c r="AG40" s="152"/>
      <c r="AH40" s="152"/>
      <c r="AI40" s="152"/>
      <c r="AJ40" s="152"/>
      <c r="AK40" s="152"/>
      <c r="AL40" s="152"/>
      <c r="AM40" s="152"/>
      <c r="AN40" s="152"/>
      <c r="AO40" s="152"/>
      <c r="AP40" s="152"/>
      <c r="AQ40" s="152"/>
      <c r="AR40" s="152"/>
      <c r="AS40" s="152"/>
    </row>
    <row r="41" spans="1:45" ht="20" hidden="1" customHeight="1">
      <c r="A41" s="286">
        <v>23097</v>
      </c>
      <c r="B41" s="287" t="s">
        <v>1133</v>
      </c>
      <c r="C41" s="287" t="s">
        <v>59</v>
      </c>
      <c r="D41" s="287" t="s">
        <v>1083</v>
      </c>
      <c r="E41" s="71">
        <v>17</v>
      </c>
      <c r="F41" s="76" t="s">
        <v>1080</v>
      </c>
      <c r="G41" s="376" t="s">
        <v>1080</v>
      </c>
      <c r="H41" s="376" t="s">
        <v>1080</v>
      </c>
      <c r="I41" s="377" t="s">
        <v>1080</v>
      </c>
      <c r="J41" s="377"/>
      <c r="K41" s="377" t="s">
        <v>1080</v>
      </c>
      <c r="L41" s="377"/>
      <c r="M41" s="378"/>
      <c r="N41" s="379">
        <v>1</v>
      </c>
      <c r="O41" s="377">
        <v>1</v>
      </c>
      <c r="P41" s="377"/>
      <c r="Q41" s="377">
        <v>1</v>
      </c>
      <c r="R41" s="377">
        <v>1</v>
      </c>
      <c r="S41" s="377">
        <v>1</v>
      </c>
      <c r="T41" s="377">
        <v>1</v>
      </c>
      <c r="U41" s="377">
        <v>1</v>
      </c>
      <c r="V41" s="377" t="s">
        <v>1080</v>
      </c>
      <c r="W41" s="378"/>
      <c r="X41" s="423"/>
      <c r="Y41" s="377"/>
      <c r="Z41" s="378"/>
      <c r="AA41" s="340">
        <f t="shared" si="4"/>
        <v>13</v>
      </c>
      <c r="AB41" s="461">
        <f t="shared" si="5"/>
        <v>0.61904761904761907</v>
      </c>
      <c r="AC41" s="460" t="s">
        <v>471</v>
      </c>
      <c r="AD41" s="380"/>
      <c r="AE41" s="152"/>
      <c r="AF41" s="152"/>
      <c r="AG41" s="152"/>
      <c r="AH41" s="152"/>
      <c r="AI41" s="152"/>
      <c r="AJ41" s="152"/>
      <c r="AK41" s="152"/>
      <c r="AL41" s="152"/>
      <c r="AM41" s="152"/>
      <c r="AN41" s="152"/>
      <c r="AO41" s="152"/>
      <c r="AP41" s="152"/>
      <c r="AQ41" s="152"/>
      <c r="AR41" s="152"/>
      <c r="AS41" s="152"/>
    </row>
    <row r="42" spans="1:45" ht="20" hidden="1" customHeight="1" thickBot="1">
      <c r="A42" s="286">
        <v>23100</v>
      </c>
      <c r="B42" s="287" t="s">
        <v>1134</v>
      </c>
      <c r="C42" s="287" t="s">
        <v>59</v>
      </c>
      <c r="D42" s="287" t="s">
        <v>1135</v>
      </c>
      <c r="E42" s="71" t="s">
        <v>1136</v>
      </c>
      <c r="F42" s="76" t="s">
        <v>1080</v>
      </c>
      <c r="G42" s="376"/>
      <c r="H42" s="376"/>
      <c r="I42" s="377"/>
      <c r="J42" s="377"/>
      <c r="K42" s="377"/>
      <c r="L42" s="377"/>
      <c r="M42" s="378"/>
      <c r="N42" s="379"/>
      <c r="O42" s="377"/>
      <c r="P42" s="377"/>
      <c r="Q42" s="377"/>
      <c r="R42" s="377"/>
      <c r="S42" s="377"/>
      <c r="T42" s="377"/>
      <c r="U42" s="377"/>
      <c r="V42" s="377"/>
      <c r="W42" s="378"/>
      <c r="X42" s="423"/>
      <c r="Y42" s="377"/>
      <c r="Z42" s="378"/>
      <c r="AA42" s="340">
        <f t="shared" si="4"/>
        <v>1</v>
      </c>
      <c r="AB42" s="461">
        <f t="shared" si="5"/>
        <v>4.7619047619047616E-2</v>
      </c>
      <c r="AC42" s="460" t="s">
        <v>471</v>
      </c>
      <c r="AD42" s="380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</row>
    <row r="43" spans="1:45" ht="20" hidden="1" customHeight="1">
      <c r="A43" s="286">
        <v>23101</v>
      </c>
      <c r="B43" s="530" t="s">
        <v>1137</v>
      </c>
      <c r="C43" s="285" t="s">
        <v>54</v>
      </c>
      <c r="D43" s="531" t="s">
        <v>1083</v>
      </c>
      <c r="E43" s="71">
        <v>5</v>
      </c>
      <c r="F43" s="76" t="s">
        <v>1080</v>
      </c>
      <c r="G43" s="376" t="s">
        <v>1080</v>
      </c>
      <c r="H43" s="376" t="s">
        <v>1080</v>
      </c>
      <c r="I43" s="377">
        <v>1</v>
      </c>
      <c r="J43" s="377">
        <v>1</v>
      </c>
      <c r="K43" s="377">
        <v>1</v>
      </c>
      <c r="L43" s="377">
        <v>1</v>
      </c>
      <c r="M43" s="378">
        <v>1</v>
      </c>
      <c r="N43" s="379">
        <v>1</v>
      </c>
      <c r="O43" s="377">
        <v>1</v>
      </c>
      <c r="P43" s="377">
        <v>1</v>
      </c>
      <c r="Q43" s="377">
        <v>1</v>
      </c>
      <c r="R43" s="377">
        <v>1</v>
      </c>
      <c r="S43" s="377">
        <v>1</v>
      </c>
      <c r="T43" s="377">
        <v>1</v>
      </c>
      <c r="U43" s="377">
        <v>1</v>
      </c>
      <c r="V43" s="377">
        <v>1</v>
      </c>
      <c r="W43" s="378">
        <v>1</v>
      </c>
      <c r="X43" s="423">
        <v>1</v>
      </c>
      <c r="Y43" s="377">
        <v>1</v>
      </c>
      <c r="Z43" s="378">
        <v>1</v>
      </c>
      <c r="AA43" s="340">
        <f t="shared" si="4"/>
        <v>21</v>
      </c>
      <c r="AB43" s="461">
        <f t="shared" si="5"/>
        <v>1</v>
      </c>
      <c r="AC43" s="460" t="s">
        <v>79</v>
      </c>
      <c r="AD43" s="380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</row>
    <row r="44" spans="1:45" ht="20" hidden="1" customHeight="1">
      <c r="A44" s="286">
        <v>24004</v>
      </c>
      <c r="B44" s="287" t="s">
        <v>1138</v>
      </c>
      <c r="C44" s="290" t="s">
        <v>1090</v>
      </c>
      <c r="D44" s="287"/>
      <c r="E44" s="71">
        <v>24</v>
      </c>
      <c r="F44" s="376">
        <v>1</v>
      </c>
      <c r="G44" s="376" t="s">
        <v>1080</v>
      </c>
      <c r="H44" s="376">
        <v>1</v>
      </c>
      <c r="I44" s="377" t="s">
        <v>1080</v>
      </c>
      <c r="J44" s="377">
        <v>1</v>
      </c>
      <c r="K44" s="377">
        <v>1</v>
      </c>
      <c r="L44" s="377">
        <v>1</v>
      </c>
      <c r="M44" s="378">
        <v>1</v>
      </c>
      <c r="N44" s="379">
        <v>1</v>
      </c>
      <c r="O44" s="377" t="s">
        <v>1080</v>
      </c>
      <c r="P44" s="377">
        <v>1</v>
      </c>
      <c r="Q44" s="377">
        <v>1</v>
      </c>
      <c r="R44" s="377">
        <v>1</v>
      </c>
      <c r="S44" s="377">
        <v>1</v>
      </c>
      <c r="T44" s="377">
        <v>1</v>
      </c>
      <c r="U44" s="377">
        <v>1</v>
      </c>
      <c r="V44" s="377" t="s">
        <v>1080</v>
      </c>
      <c r="W44" s="378">
        <v>1</v>
      </c>
      <c r="X44" s="423"/>
      <c r="Y44" s="377"/>
      <c r="Z44" s="378"/>
      <c r="AA44" s="340">
        <f t="shared" si="4"/>
        <v>18</v>
      </c>
      <c r="AB44" s="461">
        <f t="shared" si="5"/>
        <v>0.8571428571428571</v>
      </c>
      <c r="AC44" s="460" t="s">
        <v>471</v>
      </c>
      <c r="AD44" s="380"/>
      <c r="AE44" s="152"/>
      <c r="AF44" s="152"/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</row>
    <row r="45" spans="1:45" ht="20" hidden="1" customHeight="1" thickBot="1">
      <c r="A45" s="286">
        <v>24006</v>
      </c>
      <c r="B45" s="287" t="s">
        <v>1139</v>
      </c>
      <c r="C45" s="287" t="s">
        <v>54</v>
      </c>
      <c r="D45" s="287"/>
      <c r="E45" s="71">
        <v>14</v>
      </c>
      <c r="F45" s="376" t="s">
        <v>1080</v>
      </c>
      <c r="G45" s="376" t="s">
        <v>1080</v>
      </c>
      <c r="H45" s="376" t="s">
        <v>1080</v>
      </c>
      <c r="I45" s="377">
        <v>1</v>
      </c>
      <c r="J45" s="377">
        <v>1</v>
      </c>
      <c r="K45" s="377">
        <v>1</v>
      </c>
      <c r="L45" s="377">
        <v>1</v>
      </c>
      <c r="M45" s="378">
        <v>1</v>
      </c>
      <c r="N45" s="379" t="s">
        <v>1080</v>
      </c>
      <c r="O45" s="377" t="s">
        <v>1080</v>
      </c>
      <c r="P45" s="377">
        <v>1</v>
      </c>
      <c r="Q45" s="377">
        <v>1</v>
      </c>
      <c r="R45" s="377">
        <v>1</v>
      </c>
      <c r="S45" s="377">
        <v>1</v>
      </c>
      <c r="T45" s="377">
        <v>1</v>
      </c>
      <c r="U45" s="377" t="s">
        <v>1080</v>
      </c>
      <c r="V45" s="377" t="s">
        <v>1080</v>
      </c>
      <c r="W45" s="378">
        <v>1</v>
      </c>
      <c r="X45" s="423"/>
      <c r="Y45" s="377"/>
      <c r="Z45" s="378"/>
      <c r="AA45" s="340">
        <f t="shared" si="4"/>
        <v>18</v>
      </c>
      <c r="AB45" s="461">
        <f t="shared" si="5"/>
        <v>0.8571428571428571</v>
      </c>
      <c r="AC45" s="460" t="s">
        <v>471</v>
      </c>
      <c r="AD45" s="380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</row>
    <row r="46" spans="1:45" ht="20" customHeight="1" thickBot="1">
      <c r="A46" s="286">
        <v>24015</v>
      </c>
      <c r="B46" s="530" t="s">
        <v>1140</v>
      </c>
      <c r="C46" s="285" t="s">
        <v>54</v>
      </c>
      <c r="D46" s="531" t="s">
        <v>1141</v>
      </c>
      <c r="E46" s="71">
        <v>2</v>
      </c>
      <c r="F46" s="376" t="s">
        <v>1080</v>
      </c>
      <c r="G46" s="376">
        <v>1</v>
      </c>
      <c r="H46" s="376">
        <v>1</v>
      </c>
      <c r="I46" s="377"/>
      <c r="J46" s="377"/>
      <c r="K46" s="377"/>
      <c r="L46" s="377"/>
      <c r="M46" s="378"/>
      <c r="N46" s="379"/>
      <c r="O46" s="377"/>
      <c r="P46" s="377"/>
      <c r="Q46" s="377"/>
      <c r="R46" s="377"/>
      <c r="S46" s="377"/>
      <c r="T46" s="377"/>
      <c r="U46" s="377"/>
      <c r="V46" s="377"/>
      <c r="W46" s="378"/>
      <c r="X46" s="423"/>
      <c r="Y46" s="377"/>
      <c r="Z46" s="378"/>
      <c r="AA46" s="340">
        <f t="shared" si="4"/>
        <v>3</v>
      </c>
      <c r="AB46" s="461">
        <f t="shared" si="5"/>
        <v>0.14285714285714285</v>
      </c>
      <c r="AC46" s="460"/>
      <c r="AD46" s="380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</row>
    <row r="47" spans="1:45" ht="20" hidden="1" customHeight="1">
      <c r="A47" s="286">
        <v>24030</v>
      </c>
      <c r="B47" s="287" t="s">
        <v>1142</v>
      </c>
      <c r="C47" s="290" t="s">
        <v>340</v>
      </c>
      <c r="D47" s="287"/>
      <c r="E47" s="71">
        <v>25</v>
      </c>
      <c r="F47" s="376">
        <v>1</v>
      </c>
      <c r="G47" s="376">
        <v>1</v>
      </c>
      <c r="H47" s="376">
        <v>1</v>
      </c>
      <c r="I47" s="377">
        <v>1</v>
      </c>
      <c r="J47" s="377">
        <v>1</v>
      </c>
      <c r="K47" s="377">
        <v>1</v>
      </c>
      <c r="L47" s="377">
        <v>1</v>
      </c>
      <c r="M47" s="378">
        <v>1</v>
      </c>
      <c r="N47" s="379">
        <v>1</v>
      </c>
      <c r="O47" s="377">
        <v>1</v>
      </c>
      <c r="P47" s="377">
        <v>1</v>
      </c>
      <c r="Q47" s="377">
        <v>1</v>
      </c>
      <c r="R47" s="377">
        <v>1</v>
      </c>
      <c r="S47" s="377">
        <v>1</v>
      </c>
      <c r="T47" s="377">
        <v>1</v>
      </c>
      <c r="U47" s="377">
        <v>1</v>
      </c>
      <c r="V47" s="377">
        <v>1</v>
      </c>
      <c r="W47" s="378">
        <v>1</v>
      </c>
      <c r="X47" s="423">
        <v>1</v>
      </c>
      <c r="Y47" s="377">
        <v>1</v>
      </c>
      <c r="Z47" s="378">
        <v>1</v>
      </c>
      <c r="AA47" s="340">
        <f t="shared" si="4"/>
        <v>21</v>
      </c>
      <c r="AB47" s="461">
        <f t="shared" si="5"/>
        <v>1</v>
      </c>
      <c r="AC47" s="460" t="s">
        <v>471</v>
      </c>
      <c r="AD47" s="380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2"/>
      <c r="AS47" s="152"/>
    </row>
    <row r="48" spans="1:45" ht="20" hidden="1" customHeight="1" thickBot="1">
      <c r="A48" s="286">
        <v>24031</v>
      </c>
      <c r="B48" s="287" t="s">
        <v>1143</v>
      </c>
      <c r="C48" s="287" t="s">
        <v>54</v>
      </c>
      <c r="D48" s="287"/>
      <c r="E48" s="71">
        <v>25</v>
      </c>
      <c r="F48" s="376" t="s">
        <v>1080</v>
      </c>
      <c r="G48" s="376"/>
      <c r="H48" s="376">
        <v>1</v>
      </c>
      <c r="I48" s="377"/>
      <c r="J48" s="377"/>
      <c r="K48" s="377"/>
      <c r="L48" s="377">
        <v>1</v>
      </c>
      <c r="M48" s="378"/>
      <c r="N48" s="379">
        <v>1</v>
      </c>
      <c r="O48" s="377">
        <v>1</v>
      </c>
      <c r="P48" s="377">
        <v>1</v>
      </c>
      <c r="Q48" s="377">
        <v>1</v>
      </c>
      <c r="R48" s="377"/>
      <c r="S48" s="377"/>
      <c r="T48" s="377">
        <v>1</v>
      </c>
      <c r="U48" s="377">
        <v>1</v>
      </c>
      <c r="V48" s="377"/>
      <c r="W48" s="378">
        <v>1</v>
      </c>
      <c r="X48" s="423"/>
      <c r="Y48" s="377"/>
      <c r="Z48" s="378"/>
      <c r="AA48" s="340">
        <f t="shared" si="4"/>
        <v>10</v>
      </c>
      <c r="AB48" s="461">
        <f t="shared" si="5"/>
        <v>0.47619047619047616</v>
      </c>
      <c r="AC48" s="460" t="s">
        <v>471</v>
      </c>
      <c r="AD48" s="380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</row>
    <row r="49" spans="1:45" ht="20" hidden="1" customHeight="1">
      <c r="A49" s="286">
        <v>24035</v>
      </c>
      <c r="B49" s="530" t="s">
        <v>1144</v>
      </c>
      <c r="C49" s="285" t="s">
        <v>186</v>
      </c>
      <c r="D49" s="531" t="s">
        <v>1125</v>
      </c>
      <c r="E49" s="71">
        <v>48</v>
      </c>
      <c r="F49" s="376">
        <v>1</v>
      </c>
      <c r="G49" s="376">
        <v>1</v>
      </c>
      <c r="H49" s="376">
        <v>1</v>
      </c>
      <c r="I49" s="377">
        <v>1</v>
      </c>
      <c r="J49" s="377">
        <v>1</v>
      </c>
      <c r="K49" s="377">
        <v>1</v>
      </c>
      <c r="L49" s="377">
        <v>1</v>
      </c>
      <c r="M49" s="378">
        <v>1</v>
      </c>
      <c r="N49" s="379">
        <v>1</v>
      </c>
      <c r="O49" s="377">
        <v>1</v>
      </c>
      <c r="P49" s="377">
        <v>1</v>
      </c>
      <c r="Q49" s="377">
        <v>1</v>
      </c>
      <c r="R49" s="377">
        <v>1</v>
      </c>
      <c r="S49" s="377">
        <v>1</v>
      </c>
      <c r="T49" s="377">
        <v>1</v>
      </c>
      <c r="U49" s="377" t="s">
        <v>1080</v>
      </c>
      <c r="V49" s="377" t="s">
        <v>1080</v>
      </c>
      <c r="W49" s="378">
        <v>1</v>
      </c>
      <c r="X49" s="423">
        <v>1</v>
      </c>
      <c r="Y49" s="377">
        <v>1</v>
      </c>
      <c r="Z49" s="378">
        <v>1</v>
      </c>
      <c r="AA49" s="340">
        <f t="shared" si="4"/>
        <v>21</v>
      </c>
      <c r="AB49" s="461">
        <f t="shared" si="5"/>
        <v>1</v>
      </c>
      <c r="AC49" s="460" t="s">
        <v>79</v>
      </c>
      <c r="AD49" s="380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</row>
    <row r="50" spans="1:45" ht="20" hidden="1" customHeight="1">
      <c r="A50" s="286">
        <v>24038</v>
      </c>
      <c r="B50" s="287" t="s">
        <v>1145</v>
      </c>
      <c r="C50" s="290" t="s">
        <v>1146</v>
      </c>
      <c r="D50" s="287"/>
      <c r="E50" s="71">
        <v>46</v>
      </c>
      <c r="F50" s="376">
        <v>1</v>
      </c>
      <c r="G50" s="376">
        <v>1</v>
      </c>
      <c r="H50" s="376">
        <v>1</v>
      </c>
      <c r="I50" s="377">
        <v>1</v>
      </c>
      <c r="J50" s="377">
        <v>1</v>
      </c>
      <c r="K50" s="377">
        <v>1</v>
      </c>
      <c r="L50" s="377">
        <v>1</v>
      </c>
      <c r="M50" s="378">
        <v>1</v>
      </c>
      <c r="N50" s="379">
        <v>1</v>
      </c>
      <c r="O50" s="377">
        <v>1</v>
      </c>
      <c r="P50" s="377">
        <v>1</v>
      </c>
      <c r="Q50" s="377">
        <v>1</v>
      </c>
      <c r="R50" s="377"/>
      <c r="S50" s="377"/>
      <c r="T50" s="377">
        <v>1</v>
      </c>
      <c r="U50" s="377">
        <v>1</v>
      </c>
      <c r="V50" s="377"/>
      <c r="W50" s="378">
        <v>1</v>
      </c>
      <c r="X50" s="423">
        <v>1</v>
      </c>
      <c r="Y50" s="377">
        <v>1</v>
      </c>
      <c r="Z50" s="378">
        <v>1</v>
      </c>
      <c r="AA50" s="340">
        <f>IF(B50="","",(COUNTA(G50:Z50)))</f>
        <v>17</v>
      </c>
      <c r="AB50" s="461" t="s">
        <v>1147</v>
      </c>
      <c r="AC50" s="460" t="s">
        <v>471</v>
      </c>
      <c r="AD50" s="380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</row>
    <row r="51" spans="1:45" ht="20" hidden="1" customHeight="1">
      <c r="A51" s="286">
        <v>24047</v>
      </c>
      <c r="B51" s="287" t="s">
        <v>1148</v>
      </c>
      <c r="C51" s="287" t="s">
        <v>1149</v>
      </c>
      <c r="D51" s="287"/>
      <c r="E51" s="71"/>
      <c r="F51" s="376"/>
      <c r="G51" s="376"/>
      <c r="H51" s="376"/>
      <c r="I51" s="377">
        <v>1</v>
      </c>
      <c r="J51" s="377"/>
      <c r="K51" s="377"/>
      <c r="L51" s="377">
        <v>1</v>
      </c>
      <c r="M51" s="378">
        <v>1</v>
      </c>
      <c r="N51" s="379"/>
      <c r="O51" s="377"/>
      <c r="P51" s="377"/>
      <c r="Q51" s="377">
        <v>1</v>
      </c>
      <c r="R51" s="377"/>
      <c r="S51" s="377"/>
      <c r="T51" s="377">
        <v>1</v>
      </c>
      <c r="U51" s="377"/>
      <c r="V51" s="377"/>
      <c r="W51" s="378"/>
      <c r="X51" s="423"/>
      <c r="Y51" s="377"/>
      <c r="Z51" s="378"/>
      <c r="AA51" s="340"/>
      <c r="AB51" s="461">
        <f>IF(B51="","",(AA51/COUNTA($F$6:$Z$6)))</f>
        <v>0</v>
      </c>
      <c r="AC51" s="460" t="s">
        <v>471</v>
      </c>
      <c r="AD51" s="380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</row>
    <row r="52" spans="1:45" ht="20" hidden="1" customHeight="1" thickBot="1">
      <c r="A52" s="286">
        <v>24055</v>
      </c>
      <c r="B52" s="287" t="s">
        <v>1150</v>
      </c>
      <c r="C52" s="287" t="s">
        <v>54</v>
      </c>
      <c r="D52" s="287"/>
      <c r="E52" s="71">
        <v>49</v>
      </c>
      <c r="F52" s="376">
        <v>1</v>
      </c>
      <c r="G52" s="376"/>
      <c r="H52" s="376">
        <v>1</v>
      </c>
      <c r="I52" s="377">
        <v>1</v>
      </c>
      <c r="J52" s="377">
        <v>1</v>
      </c>
      <c r="K52" s="377">
        <v>1</v>
      </c>
      <c r="L52" s="377">
        <v>1</v>
      </c>
      <c r="M52" s="378">
        <v>1</v>
      </c>
      <c r="N52" s="379">
        <v>1</v>
      </c>
      <c r="O52" s="377"/>
      <c r="P52" s="377">
        <v>1</v>
      </c>
      <c r="Q52" s="377">
        <v>1</v>
      </c>
      <c r="R52" s="377">
        <v>1</v>
      </c>
      <c r="S52" s="377">
        <v>1</v>
      </c>
      <c r="T52" s="377">
        <v>1</v>
      </c>
      <c r="U52" s="377">
        <v>1</v>
      </c>
      <c r="V52" s="377"/>
      <c r="W52" s="378">
        <v>1</v>
      </c>
      <c r="X52" s="423">
        <v>1</v>
      </c>
      <c r="Y52" s="377">
        <v>1</v>
      </c>
      <c r="Z52" s="378">
        <v>1</v>
      </c>
      <c r="AA52" s="340"/>
      <c r="AB52" s="461">
        <v>1</v>
      </c>
      <c r="AC52" s="460" t="s">
        <v>471</v>
      </c>
      <c r="AD52" s="380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</row>
    <row r="53" spans="1:45" ht="20" hidden="1" customHeight="1">
      <c r="A53" s="286">
        <v>24075</v>
      </c>
      <c r="B53" s="530" t="s">
        <v>1151</v>
      </c>
      <c r="C53" s="285" t="s">
        <v>186</v>
      </c>
      <c r="D53" s="531"/>
      <c r="E53" s="71">
        <v>15</v>
      </c>
      <c r="F53" s="376">
        <v>1</v>
      </c>
      <c r="G53" s="376">
        <v>1</v>
      </c>
      <c r="H53" s="376">
        <v>1</v>
      </c>
      <c r="I53" s="377">
        <v>1</v>
      </c>
      <c r="J53" s="377">
        <v>1</v>
      </c>
      <c r="K53" s="377">
        <v>1</v>
      </c>
      <c r="L53" s="377">
        <v>1</v>
      </c>
      <c r="M53" s="378">
        <v>1</v>
      </c>
      <c r="N53" s="379">
        <v>1</v>
      </c>
      <c r="O53" s="377">
        <v>1</v>
      </c>
      <c r="P53" s="377">
        <v>1</v>
      </c>
      <c r="Q53" s="377">
        <v>1</v>
      </c>
      <c r="R53" s="377">
        <v>1</v>
      </c>
      <c r="S53" s="377">
        <v>1</v>
      </c>
      <c r="T53" s="377">
        <v>1</v>
      </c>
      <c r="U53" s="377">
        <v>1</v>
      </c>
      <c r="V53" s="377" t="s">
        <v>1080</v>
      </c>
      <c r="W53" s="378">
        <v>1</v>
      </c>
      <c r="X53" s="423">
        <v>1</v>
      </c>
      <c r="Y53" s="377">
        <v>1</v>
      </c>
      <c r="Z53" s="378">
        <v>1</v>
      </c>
      <c r="AA53" s="340">
        <f>IF(B53="","",(COUNTA(F53:Z53)))</f>
        <v>21</v>
      </c>
      <c r="AB53" s="461">
        <f>IF(B53="","",(AA53/COUNTA($F$6:$Z$6)))</f>
        <v>1</v>
      </c>
      <c r="AC53" s="460" t="s">
        <v>79</v>
      </c>
      <c r="AD53" s="380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</row>
    <row r="54" spans="1:45" ht="20" hidden="1" customHeight="1" thickBot="1">
      <c r="A54" s="286">
        <v>24115</v>
      </c>
      <c r="B54" s="287" t="s">
        <v>1152</v>
      </c>
      <c r="C54" s="290" t="s">
        <v>54</v>
      </c>
      <c r="D54" s="287"/>
      <c r="E54" s="71"/>
      <c r="F54" s="376">
        <v>1</v>
      </c>
      <c r="G54" s="376"/>
      <c r="H54" s="376">
        <v>1</v>
      </c>
      <c r="I54" s="377">
        <v>1</v>
      </c>
      <c r="J54" s="377">
        <v>1</v>
      </c>
      <c r="K54" s="377">
        <v>1</v>
      </c>
      <c r="L54" s="377">
        <v>1</v>
      </c>
      <c r="M54" s="378">
        <v>1</v>
      </c>
      <c r="N54" s="379">
        <v>1</v>
      </c>
      <c r="O54" s="377"/>
      <c r="P54" s="377">
        <v>1</v>
      </c>
      <c r="Q54" s="377">
        <v>1</v>
      </c>
      <c r="R54" s="377"/>
      <c r="S54" s="377"/>
      <c r="T54" s="377">
        <v>1</v>
      </c>
      <c r="U54" s="377">
        <v>1</v>
      </c>
      <c r="V54" s="377"/>
      <c r="W54" s="378">
        <v>1</v>
      </c>
      <c r="X54" s="423">
        <v>1</v>
      </c>
      <c r="Y54" s="377">
        <v>1</v>
      </c>
      <c r="Z54" s="378">
        <v>1</v>
      </c>
      <c r="AA54" s="340"/>
      <c r="AB54" s="461">
        <v>1</v>
      </c>
      <c r="AC54" s="460" t="s">
        <v>471</v>
      </c>
      <c r="AD54" s="380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</row>
    <row r="55" spans="1:45" ht="20" customHeight="1">
      <c r="A55" s="286">
        <v>24062</v>
      </c>
      <c r="B55" s="530" t="s">
        <v>1153</v>
      </c>
      <c r="C55" s="285" t="s">
        <v>164</v>
      </c>
      <c r="D55" s="531" t="s">
        <v>1080</v>
      </c>
      <c r="E55" s="71">
        <v>32</v>
      </c>
      <c r="F55" s="376" t="s">
        <v>1080</v>
      </c>
      <c r="G55" s="376">
        <v>1</v>
      </c>
      <c r="H55" s="376">
        <v>1</v>
      </c>
      <c r="I55" s="377">
        <v>1</v>
      </c>
      <c r="J55" s="377">
        <v>1</v>
      </c>
      <c r="K55" s="377">
        <v>1</v>
      </c>
      <c r="L55" s="377">
        <v>1</v>
      </c>
      <c r="M55" s="378">
        <v>1</v>
      </c>
      <c r="N55" s="379">
        <v>1</v>
      </c>
      <c r="O55" s="377" t="s">
        <v>1080</v>
      </c>
      <c r="P55" s="377">
        <v>1</v>
      </c>
      <c r="Q55" s="377">
        <v>1</v>
      </c>
      <c r="R55" s="377">
        <v>1</v>
      </c>
      <c r="S55" s="377">
        <v>1</v>
      </c>
      <c r="T55" s="377">
        <v>1</v>
      </c>
      <c r="U55" s="377">
        <v>1</v>
      </c>
      <c r="V55" s="377"/>
      <c r="W55" s="378">
        <v>1</v>
      </c>
      <c r="X55" s="423"/>
      <c r="Y55" s="377"/>
      <c r="Z55" s="551"/>
      <c r="AA55" s="340">
        <f>IF(B55="","",(COUNTA(F55:Z55)))</f>
        <v>17</v>
      </c>
      <c r="AB55" s="461">
        <f t="shared" ref="AB55:AB96" si="6">IF(B55="","",(AA55/COUNTA($F$6:$Z$6)))</f>
        <v>0.80952380952380953</v>
      </c>
      <c r="AC55" s="552"/>
      <c r="AD55" s="380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</row>
    <row r="56" spans="1:45" ht="20" customHeight="1">
      <c r="A56" s="286">
        <v>24122</v>
      </c>
      <c r="B56" s="530" t="s">
        <v>1154</v>
      </c>
      <c r="C56" s="288" t="s">
        <v>54</v>
      </c>
      <c r="D56" s="531" t="s">
        <v>1083</v>
      </c>
      <c r="E56" s="71"/>
      <c r="F56" s="376">
        <v>0</v>
      </c>
      <c r="G56" s="376">
        <v>1</v>
      </c>
      <c r="H56" s="376">
        <v>1</v>
      </c>
      <c r="I56" s="377">
        <v>1</v>
      </c>
      <c r="J56" s="377">
        <v>1</v>
      </c>
      <c r="K56" s="377">
        <v>1</v>
      </c>
      <c r="L56" s="377">
        <v>1</v>
      </c>
      <c r="M56" s="378">
        <v>1</v>
      </c>
      <c r="N56" s="379">
        <v>1</v>
      </c>
      <c r="O56" s="377">
        <v>1</v>
      </c>
      <c r="P56" s="377">
        <v>1</v>
      </c>
      <c r="Q56" s="377">
        <v>1</v>
      </c>
      <c r="R56" s="377">
        <v>1</v>
      </c>
      <c r="S56" s="377">
        <v>1</v>
      </c>
      <c r="T56" s="377">
        <v>1</v>
      </c>
      <c r="U56" s="377">
        <v>1</v>
      </c>
      <c r="V56" s="377" t="s">
        <v>1080</v>
      </c>
      <c r="W56" s="378">
        <v>1</v>
      </c>
      <c r="X56" s="423">
        <v>1</v>
      </c>
      <c r="Y56" s="377"/>
      <c r="Z56" s="378"/>
      <c r="AA56" s="340">
        <f>IF(B56="","",(COUNTA(F56:Z56)))</f>
        <v>19</v>
      </c>
      <c r="AB56" s="461">
        <f t="shared" si="6"/>
        <v>0.90476190476190477</v>
      </c>
      <c r="AC56" s="460"/>
      <c r="AD56" s="380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</row>
    <row r="57" spans="1:45" ht="20" hidden="1" customHeight="1" thickBot="1">
      <c r="A57" s="286">
        <v>24125</v>
      </c>
      <c r="B57" s="287" t="s">
        <v>1155</v>
      </c>
      <c r="C57" s="290" t="s">
        <v>1156</v>
      </c>
      <c r="D57" s="287"/>
      <c r="E57" s="71"/>
      <c r="F57" s="376"/>
      <c r="G57" s="376"/>
      <c r="H57" s="376">
        <v>1</v>
      </c>
      <c r="I57" s="377"/>
      <c r="J57" s="377"/>
      <c r="K57" s="377"/>
      <c r="L57" s="377"/>
      <c r="M57" s="378"/>
      <c r="N57" s="379"/>
      <c r="O57" s="377"/>
      <c r="P57" s="377"/>
      <c r="Q57" s="377"/>
      <c r="R57" s="377"/>
      <c r="S57" s="377"/>
      <c r="T57" s="377"/>
      <c r="U57" s="377"/>
      <c r="V57" s="377"/>
      <c r="W57" s="378"/>
      <c r="X57" s="423"/>
      <c r="Y57" s="377"/>
      <c r="Z57" s="378"/>
      <c r="AA57" s="497"/>
      <c r="AB57" s="498">
        <f t="shared" si="6"/>
        <v>0</v>
      </c>
      <c r="AC57" s="460" t="s">
        <v>471</v>
      </c>
      <c r="AD57" s="380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</row>
    <row r="58" spans="1:45" ht="20" hidden="1" customHeight="1">
      <c r="A58" s="286">
        <v>24128</v>
      </c>
      <c r="B58" s="530" t="s">
        <v>1157</v>
      </c>
      <c r="C58" s="285" t="s">
        <v>54</v>
      </c>
      <c r="D58" s="531" t="s">
        <v>1125</v>
      </c>
      <c r="E58" s="71">
        <v>12</v>
      </c>
      <c r="F58" s="376">
        <v>1</v>
      </c>
      <c r="G58" s="376">
        <v>1</v>
      </c>
      <c r="H58" s="376">
        <v>1</v>
      </c>
      <c r="I58" s="377">
        <v>1</v>
      </c>
      <c r="J58" s="377">
        <v>1</v>
      </c>
      <c r="K58" s="377">
        <v>1</v>
      </c>
      <c r="L58" s="377">
        <v>1</v>
      </c>
      <c r="M58" s="378">
        <v>1</v>
      </c>
      <c r="N58" s="379">
        <v>1</v>
      </c>
      <c r="O58" s="377">
        <v>0</v>
      </c>
      <c r="P58" s="377">
        <v>1</v>
      </c>
      <c r="Q58" s="377">
        <v>1</v>
      </c>
      <c r="R58" s="377">
        <v>1</v>
      </c>
      <c r="S58" s="377">
        <v>1</v>
      </c>
      <c r="T58" s="377">
        <v>1</v>
      </c>
      <c r="U58" s="377">
        <v>1</v>
      </c>
      <c r="V58" s="377">
        <v>1</v>
      </c>
      <c r="W58" s="378">
        <v>1</v>
      </c>
      <c r="X58" s="423">
        <v>1</v>
      </c>
      <c r="Y58" s="377">
        <v>1</v>
      </c>
      <c r="Z58" s="378">
        <v>1</v>
      </c>
      <c r="AA58" s="340">
        <f t="shared" ref="AA58:AA96" si="7">IF(B58="","",(COUNTA(F58:Z58)))</f>
        <v>21</v>
      </c>
      <c r="AB58" s="461">
        <f t="shared" si="6"/>
        <v>1</v>
      </c>
      <c r="AC58" s="460" t="s">
        <v>471</v>
      </c>
      <c r="AD58" s="380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</row>
    <row r="59" spans="1:45" ht="20" hidden="1" customHeight="1">
      <c r="A59" s="286">
        <v>24124</v>
      </c>
      <c r="B59" s="530" t="s">
        <v>1158</v>
      </c>
      <c r="C59" s="288" t="s">
        <v>54</v>
      </c>
      <c r="D59" s="531" t="s">
        <v>1098</v>
      </c>
      <c r="E59" s="71">
        <v>24</v>
      </c>
      <c r="F59" s="376" t="s">
        <v>1080</v>
      </c>
      <c r="G59" s="376">
        <v>1</v>
      </c>
      <c r="H59" s="376">
        <v>1</v>
      </c>
      <c r="I59" s="377">
        <v>1</v>
      </c>
      <c r="J59" s="377">
        <v>1</v>
      </c>
      <c r="K59" s="377" t="s">
        <v>1080</v>
      </c>
      <c r="L59" s="377">
        <v>1</v>
      </c>
      <c r="M59" s="378">
        <v>1</v>
      </c>
      <c r="N59" s="379">
        <v>1</v>
      </c>
      <c r="O59" s="377">
        <v>1</v>
      </c>
      <c r="P59" s="377">
        <v>1</v>
      </c>
      <c r="Q59" s="377">
        <v>1</v>
      </c>
      <c r="R59" s="377">
        <v>1</v>
      </c>
      <c r="S59" s="377">
        <v>1</v>
      </c>
      <c r="T59" s="377">
        <v>1</v>
      </c>
      <c r="U59" s="377">
        <v>1</v>
      </c>
      <c r="V59" s="377" t="s">
        <v>1080</v>
      </c>
      <c r="W59" s="378">
        <v>1</v>
      </c>
      <c r="X59" s="423">
        <v>1</v>
      </c>
      <c r="Y59" s="377">
        <v>1</v>
      </c>
      <c r="Z59" s="378">
        <v>1</v>
      </c>
      <c r="AA59" s="340">
        <f t="shared" si="7"/>
        <v>21</v>
      </c>
      <c r="AB59" s="461">
        <f t="shared" si="6"/>
        <v>1</v>
      </c>
      <c r="AC59" s="460" t="s">
        <v>471</v>
      </c>
      <c r="AD59" s="380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</row>
    <row r="60" spans="1:45" ht="20" customHeight="1">
      <c r="A60" s="286">
        <v>24131</v>
      </c>
      <c r="B60" s="530" t="s">
        <v>1159</v>
      </c>
      <c r="C60" s="288" t="s">
        <v>54</v>
      </c>
      <c r="D60" s="531" t="s">
        <v>1086</v>
      </c>
      <c r="E60" s="71">
        <v>33</v>
      </c>
      <c r="F60" s="376"/>
      <c r="G60" s="376"/>
      <c r="H60" s="376">
        <v>1</v>
      </c>
      <c r="I60" s="377">
        <v>1</v>
      </c>
      <c r="J60" s="377">
        <v>1</v>
      </c>
      <c r="K60" s="377">
        <v>1</v>
      </c>
      <c r="L60" s="377">
        <v>1</v>
      </c>
      <c r="M60" s="378">
        <v>1</v>
      </c>
      <c r="N60" s="379">
        <v>1</v>
      </c>
      <c r="O60" s="377">
        <v>1</v>
      </c>
      <c r="P60" s="377">
        <v>1</v>
      </c>
      <c r="Q60" s="377">
        <v>1</v>
      </c>
      <c r="R60" s="377">
        <v>1</v>
      </c>
      <c r="S60" s="377">
        <v>1</v>
      </c>
      <c r="T60" s="377">
        <v>1</v>
      </c>
      <c r="U60" s="377" t="s">
        <v>1080</v>
      </c>
      <c r="V60" s="377" t="s">
        <v>1080</v>
      </c>
      <c r="W60" s="378">
        <v>1</v>
      </c>
      <c r="X60" s="423"/>
      <c r="Y60" s="377"/>
      <c r="Z60" s="378"/>
      <c r="AA60" s="340">
        <f t="shared" si="7"/>
        <v>16</v>
      </c>
      <c r="AB60" s="461">
        <f t="shared" si="6"/>
        <v>0.76190476190476186</v>
      </c>
      <c r="AC60" s="460"/>
      <c r="AD60" s="380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</row>
    <row r="61" spans="1:45" ht="20" hidden="1" customHeight="1">
      <c r="A61" s="286">
        <v>24086</v>
      </c>
      <c r="B61" s="530" t="s">
        <v>1160</v>
      </c>
      <c r="C61" s="537" t="s">
        <v>1161</v>
      </c>
      <c r="D61" s="531"/>
      <c r="E61" s="514">
        <v>2</v>
      </c>
      <c r="F61" s="376">
        <v>1</v>
      </c>
      <c r="G61" s="376">
        <v>1</v>
      </c>
      <c r="H61" s="376">
        <v>0</v>
      </c>
      <c r="I61" s="377">
        <v>1</v>
      </c>
      <c r="J61" s="377">
        <v>1</v>
      </c>
      <c r="K61" s="377">
        <v>1</v>
      </c>
      <c r="L61" s="377">
        <v>1</v>
      </c>
      <c r="M61" s="378">
        <v>1</v>
      </c>
      <c r="N61" s="379">
        <v>1</v>
      </c>
      <c r="O61" s="377" t="s">
        <v>1080</v>
      </c>
      <c r="P61" s="377">
        <v>1</v>
      </c>
      <c r="Q61" s="377">
        <v>1</v>
      </c>
      <c r="R61" s="377">
        <v>1</v>
      </c>
      <c r="S61" s="377">
        <v>1</v>
      </c>
      <c r="T61" s="377">
        <v>1</v>
      </c>
      <c r="U61" s="377">
        <v>1</v>
      </c>
      <c r="V61" s="377">
        <v>0</v>
      </c>
      <c r="W61" s="378">
        <v>1</v>
      </c>
      <c r="X61" s="423">
        <v>1</v>
      </c>
      <c r="Y61" s="377">
        <v>1</v>
      </c>
      <c r="Z61" s="378">
        <v>1</v>
      </c>
      <c r="AA61" s="340">
        <f t="shared" si="7"/>
        <v>21</v>
      </c>
      <c r="AB61" s="461">
        <f t="shared" si="6"/>
        <v>1</v>
      </c>
      <c r="AC61" s="460" t="s">
        <v>471</v>
      </c>
      <c r="AD61" s="380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</row>
    <row r="62" spans="1:45" ht="20" hidden="1" customHeight="1">
      <c r="A62" s="286">
        <v>24138</v>
      </c>
      <c r="B62" s="530" t="s">
        <v>1162</v>
      </c>
      <c r="C62" s="288" t="s">
        <v>1163</v>
      </c>
      <c r="D62" s="531"/>
      <c r="E62" s="71">
        <v>10</v>
      </c>
      <c r="F62" s="376">
        <v>1</v>
      </c>
      <c r="G62" s="376">
        <v>1</v>
      </c>
      <c r="H62" s="376">
        <v>1</v>
      </c>
      <c r="I62" s="377">
        <v>1</v>
      </c>
      <c r="J62" s="377">
        <v>1</v>
      </c>
      <c r="K62" s="377" t="s">
        <v>1080</v>
      </c>
      <c r="L62" s="377">
        <v>1</v>
      </c>
      <c r="M62" s="378">
        <v>1</v>
      </c>
      <c r="N62" s="379">
        <v>1</v>
      </c>
      <c r="O62" s="377" t="s">
        <v>1080</v>
      </c>
      <c r="P62" s="377">
        <v>1</v>
      </c>
      <c r="Q62" s="377">
        <v>1</v>
      </c>
      <c r="R62" s="377">
        <v>1</v>
      </c>
      <c r="S62" s="377">
        <v>1</v>
      </c>
      <c r="T62" s="377">
        <v>1</v>
      </c>
      <c r="U62" s="377" t="s">
        <v>1080</v>
      </c>
      <c r="V62" s="377">
        <v>1</v>
      </c>
      <c r="W62" s="378">
        <v>1</v>
      </c>
      <c r="X62" s="423">
        <v>1</v>
      </c>
      <c r="Y62" s="377">
        <v>1</v>
      </c>
      <c r="Z62" s="378">
        <v>1</v>
      </c>
      <c r="AA62" s="340">
        <f t="shared" si="7"/>
        <v>21</v>
      </c>
      <c r="AB62" s="461">
        <f t="shared" si="6"/>
        <v>1</v>
      </c>
      <c r="AC62" s="460" t="s">
        <v>471</v>
      </c>
      <c r="AD62" s="380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</row>
    <row r="63" spans="1:45" ht="20" customHeight="1">
      <c r="A63" s="286">
        <v>24145</v>
      </c>
      <c r="B63" s="530" t="s">
        <v>1164</v>
      </c>
      <c r="C63" s="288" t="s">
        <v>54</v>
      </c>
      <c r="D63" s="531" t="s">
        <v>1083</v>
      </c>
      <c r="E63" s="71">
        <v>31</v>
      </c>
      <c r="F63" s="376">
        <v>0</v>
      </c>
      <c r="G63" s="376">
        <v>1</v>
      </c>
      <c r="H63" s="376">
        <v>1</v>
      </c>
      <c r="I63" s="377">
        <v>1</v>
      </c>
      <c r="J63" s="377">
        <v>1</v>
      </c>
      <c r="K63" s="377" t="s">
        <v>1080</v>
      </c>
      <c r="L63" s="377">
        <v>1</v>
      </c>
      <c r="M63" s="378">
        <v>1</v>
      </c>
      <c r="N63" s="379">
        <v>1</v>
      </c>
      <c r="O63" s="377">
        <v>1</v>
      </c>
      <c r="P63" s="377" t="s">
        <v>1080</v>
      </c>
      <c r="Q63" s="377"/>
      <c r="R63" s="377">
        <v>1</v>
      </c>
      <c r="S63" s="377">
        <v>1</v>
      </c>
      <c r="T63" s="377">
        <v>1</v>
      </c>
      <c r="U63" s="377">
        <v>1</v>
      </c>
      <c r="V63" s="377" t="s">
        <v>1080</v>
      </c>
      <c r="W63" s="378">
        <v>1</v>
      </c>
      <c r="X63" s="423"/>
      <c r="Y63" s="377"/>
      <c r="Z63" s="378"/>
      <c r="AA63" s="340">
        <f t="shared" si="7"/>
        <v>17</v>
      </c>
      <c r="AB63" s="461">
        <f t="shared" si="6"/>
        <v>0.80952380952380953</v>
      </c>
      <c r="AC63" s="460"/>
      <c r="AD63" s="380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</row>
    <row r="64" spans="1:45" ht="18.75" customHeight="1">
      <c r="A64" s="286">
        <v>24154</v>
      </c>
      <c r="B64" s="530" t="s">
        <v>1165</v>
      </c>
      <c r="C64" s="288" t="s">
        <v>54</v>
      </c>
      <c r="D64" s="531" t="s">
        <v>1108</v>
      </c>
      <c r="E64" s="71">
        <v>46</v>
      </c>
      <c r="F64" s="376"/>
      <c r="G64" s="376">
        <v>1</v>
      </c>
      <c r="H64" s="376"/>
      <c r="I64" s="377">
        <v>1</v>
      </c>
      <c r="J64" s="377">
        <v>1</v>
      </c>
      <c r="K64" s="377">
        <v>1</v>
      </c>
      <c r="L64" s="377"/>
      <c r="M64" s="378">
        <v>1</v>
      </c>
      <c r="N64" s="379"/>
      <c r="O64" s="377" t="s">
        <v>1080</v>
      </c>
      <c r="P64" s="377"/>
      <c r="Q64" s="377"/>
      <c r="R64" s="377" t="s">
        <v>1080</v>
      </c>
      <c r="S64" s="377"/>
      <c r="T64" s="377"/>
      <c r="U64" s="377"/>
      <c r="V64" s="377"/>
      <c r="W64" s="378"/>
      <c r="X64" s="423"/>
      <c r="Y64" s="377"/>
      <c r="Z64" s="378"/>
      <c r="AA64" s="340">
        <f t="shared" si="7"/>
        <v>7</v>
      </c>
      <c r="AB64" s="461">
        <f t="shared" si="6"/>
        <v>0.33333333333333331</v>
      </c>
      <c r="AC64" s="460"/>
      <c r="AD64" s="380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</row>
    <row r="65" spans="1:45" ht="20" hidden="1" customHeight="1">
      <c r="A65" s="286">
        <v>24139</v>
      </c>
      <c r="B65" s="530" t="s">
        <v>1166</v>
      </c>
      <c r="C65" s="537" t="s">
        <v>1167</v>
      </c>
      <c r="D65" s="531"/>
      <c r="E65" s="71">
        <v>10</v>
      </c>
      <c r="F65" s="376">
        <v>0</v>
      </c>
      <c r="G65" s="376">
        <v>1</v>
      </c>
      <c r="H65" s="376">
        <v>0</v>
      </c>
      <c r="I65" s="377">
        <v>1</v>
      </c>
      <c r="J65" s="377">
        <v>1</v>
      </c>
      <c r="K65" s="377">
        <v>0</v>
      </c>
      <c r="L65" s="377">
        <v>1</v>
      </c>
      <c r="M65" s="378">
        <v>1</v>
      </c>
      <c r="N65" s="379">
        <v>1</v>
      </c>
      <c r="O65" s="377">
        <v>0</v>
      </c>
      <c r="P65" s="377">
        <v>1</v>
      </c>
      <c r="Q65" s="377">
        <v>1</v>
      </c>
      <c r="R65" s="377">
        <v>1</v>
      </c>
      <c r="S65" s="377">
        <v>1</v>
      </c>
      <c r="T65" s="377">
        <v>1</v>
      </c>
      <c r="U65" s="377">
        <v>0</v>
      </c>
      <c r="V65" s="377">
        <v>0</v>
      </c>
      <c r="W65" s="378">
        <v>1</v>
      </c>
      <c r="X65" s="423">
        <v>1</v>
      </c>
      <c r="Y65" s="377">
        <v>1</v>
      </c>
      <c r="Z65" s="378">
        <v>1</v>
      </c>
      <c r="AA65" s="340">
        <f t="shared" si="7"/>
        <v>21</v>
      </c>
      <c r="AB65" s="461">
        <f t="shared" si="6"/>
        <v>1</v>
      </c>
      <c r="AC65" s="460" t="s">
        <v>471</v>
      </c>
      <c r="AD65" s="380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</row>
    <row r="66" spans="1:45" ht="20" hidden="1" customHeight="1">
      <c r="A66" s="286">
        <v>24156</v>
      </c>
      <c r="B66" s="530" t="s">
        <v>1168</v>
      </c>
      <c r="C66" s="288" t="s">
        <v>54</v>
      </c>
      <c r="D66" s="531" t="s">
        <v>1079</v>
      </c>
      <c r="E66" s="71">
        <v>21</v>
      </c>
      <c r="F66" s="311">
        <v>0</v>
      </c>
      <c r="G66" s="376">
        <v>1</v>
      </c>
      <c r="H66" s="377">
        <v>1</v>
      </c>
      <c r="I66" s="377">
        <v>1</v>
      </c>
      <c r="J66" s="377">
        <v>1</v>
      </c>
      <c r="K66" s="377">
        <v>1</v>
      </c>
      <c r="L66" s="378">
        <v>1</v>
      </c>
      <c r="M66" s="378">
        <v>1</v>
      </c>
      <c r="N66" s="311">
        <v>1</v>
      </c>
      <c r="O66" s="377">
        <v>1</v>
      </c>
      <c r="P66" s="377">
        <v>1</v>
      </c>
      <c r="Q66" s="377">
        <v>1</v>
      </c>
      <c r="R66" s="377">
        <v>1</v>
      </c>
      <c r="S66" s="377">
        <v>1</v>
      </c>
      <c r="T66" s="377">
        <v>1</v>
      </c>
      <c r="U66" s="377">
        <v>1</v>
      </c>
      <c r="V66" s="76" t="s">
        <v>1080</v>
      </c>
      <c r="W66" s="518">
        <v>1</v>
      </c>
      <c r="X66" s="311">
        <v>1</v>
      </c>
      <c r="Y66" s="76">
        <v>1</v>
      </c>
      <c r="Z66" s="518">
        <v>1</v>
      </c>
      <c r="AA66" s="340">
        <f t="shared" si="7"/>
        <v>21</v>
      </c>
      <c r="AB66" s="461">
        <f t="shared" si="6"/>
        <v>1</v>
      </c>
      <c r="AC66" s="553" t="s">
        <v>79</v>
      </c>
      <c r="AD66" s="527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</row>
    <row r="67" spans="1:45" ht="20" customHeight="1">
      <c r="A67" s="286">
        <v>25025</v>
      </c>
      <c r="B67" s="530" t="s">
        <v>1169</v>
      </c>
      <c r="C67" s="288" t="s">
        <v>1170</v>
      </c>
      <c r="D67" s="531" t="s">
        <v>1080</v>
      </c>
      <c r="E67" s="71">
        <v>38</v>
      </c>
      <c r="F67" s="518"/>
      <c r="G67" s="76"/>
      <c r="H67" s="376"/>
      <c r="I67" s="377"/>
      <c r="J67" s="377"/>
      <c r="K67" s="377"/>
      <c r="L67" s="377"/>
      <c r="M67" s="378"/>
      <c r="N67" s="379"/>
      <c r="O67" s="377"/>
      <c r="P67" s="377"/>
      <c r="Q67" s="377"/>
      <c r="R67" s="377"/>
      <c r="S67" s="377"/>
      <c r="T67" s="377"/>
      <c r="U67" s="377"/>
      <c r="V67" s="377"/>
      <c r="W67" s="378"/>
      <c r="X67" s="423"/>
      <c r="Y67" s="377"/>
      <c r="Z67" s="378"/>
      <c r="AA67" s="340">
        <f t="shared" si="7"/>
        <v>0</v>
      </c>
      <c r="AB67" s="461">
        <f t="shared" si="6"/>
        <v>0</v>
      </c>
      <c r="AC67" s="460"/>
      <c r="AD67" s="380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</row>
    <row r="68" spans="1:45" ht="20" customHeight="1">
      <c r="A68" s="286">
        <v>25036</v>
      </c>
      <c r="B68" s="530" t="s">
        <v>1171</v>
      </c>
      <c r="C68" s="288" t="s">
        <v>54</v>
      </c>
      <c r="D68" s="531" t="s">
        <v>1108</v>
      </c>
      <c r="E68" s="71">
        <v>40</v>
      </c>
      <c r="F68" s="518"/>
      <c r="G68" s="76"/>
      <c r="H68" s="376"/>
      <c r="I68" s="377"/>
      <c r="J68" s="377"/>
      <c r="K68" s="377"/>
      <c r="L68" s="377"/>
      <c r="M68" s="378"/>
      <c r="N68" s="379"/>
      <c r="O68" s="377"/>
      <c r="P68" s="377"/>
      <c r="Q68" s="377"/>
      <c r="R68" s="377"/>
      <c r="S68" s="377"/>
      <c r="T68" s="377"/>
      <c r="U68" s="377"/>
      <c r="V68" s="377"/>
      <c r="W68" s="378"/>
      <c r="X68" s="423"/>
      <c r="Y68" s="377"/>
      <c r="Z68" s="378"/>
      <c r="AA68" s="340">
        <f t="shared" si="7"/>
        <v>0</v>
      </c>
      <c r="AB68" s="461">
        <f t="shared" si="6"/>
        <v>0</v>
      </c>
      <c r="AC68" s="460"/>
      <c r="AD68" s="380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</row>
    <row r="69" spans="1:45" ht="20" hidden="1" customHeight="1">
      <c r="A69" s="286">
        <v>25041</v>
      </c>
      <c r="B69" s="530" t="s">
        <v>1172</v>
      </c>
      <c r="C69" s="537" t="s">
        <v>1173</v>
      </c>
      <c r="D69" s="531" t="s">
        <v>1080</v>
      </c>
      <c r="E69" s="71">
        <v>12</v>
      </c>
      <c r="F69" s="518">
        <v>0</v>
      </c>
      <c r="G69" s="76">
        <v>1</v>
      </c>
      <c r="H69" s="376" t="s">
        <v>1080</v>
      </c>
      <c r="I69" s="377">
        <v>1</v>
      </c>
      <c r="J69" s="377" t="s">
        <v>1080</v>
      </c>
      <c r="K69" s="377" t="s">
        <v>1080</v>
      </c>
      <c r="L69" s="377">
        <v>1</v>
      </c>
      <c r="M69" s="378">
        <v>1</v>
      </c>
      <c r="N69" s="379">
        <v>1</v>
      </c>
      <c r="O69" s="377" t="s">
        <v>1080</v>
      </c>
      <c r="P69" s="377" t="s">
        <v>1080</v>
      </c>
      <c r="Q69" s="377">
        <v>1</v>
      </c>
      <c r="R69" s="377" t="s">
        <v>1080</v>
      </c>
      <c r="S69" s="377" t="s">
        <v>1080</v>
      </c>
      <c r="T69" s="377">
        <v>1</v>
      </c>
      <c r="U69" s="377" t="s">
        <v>1080</v>
      </c>
      <c r="V69" s="377" t="s">
        <v>1080</v>
      </c>
      <c r="W69" s="378">
        <v>1</v>
      </c>
      <c r="X69" s="423">
        <v>1</v>
      </c>
      <c r="Y69" s="377">
        <v>1</v>
      </c>
      <c r="Z69" s="378">
        <v>1</v>
      </c>
      <c r="AA69" s="340">
        <f t="shared" si="7"/>
        <v>21</v>
      </c>
      <c r="AB69" s="461">
        <f t="shared" si="6"/>
        <v>1</v>
      </c>
      <c r="AC69" s="460" t="s">
        <v>471</v>
      </c>
      <c r="AD69" s="380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</row>
    <row r="70" spans="1:45" ht="20" customHeight="1">
      <c r="A70" s="286">
        <v>25048</v>
      </c>
      <c r="B70" s="530" t="s">
        <v>1174</v>
      </c>
      <c r="C70" s="288" t="s">
        <v>54</v>
      </c>
      <c r="D70" s="531" t="s">
        <v>1083</v>
      </c>
      <c r="E70" s="71">
        <v>40</v>
      </c>
      <c r="F70" s="518">
        <v>1</v>
      </c>
      <c r="G70" s="76">
        <v>1</v>
      </c>
      <c r="H70" s="376">
        <v>1</v>
      </c>
      <c r="I70" s="377">
        <v>1</v>
      </c>
      <c r="J70" s="377">
        <v>1</v>
      </c>
      <c r="K70" s="377">
        <v>1</v>
      </c>
      <c r="L70" s="377">
        <v>1</v>
      </c>
      <c r="M70" s="378">
        <v>1</v>
      </c>
      <c r="N70" s="379">
        <v>1</v>
      </c>
      <c r="O70" s="377">
        <v>1</v>
      </c>
      <c r="P70" s="377">
        <v>1</v>
      </c>
      <c r="Q70" s="377">
        <v>1</v>
      </c>
      <c r="R70" s="377">
        <v>1</v>
      </c>
      <c r="S70" s="377">
        <v>1</v>
      </c>
      <c r="T70" s="377">
        <v>1</v>
      </c>
      <c r="U70" s="377">
        <v>1</v>
      </c>
      <c r="V70" s="377" t="s">
        <v>1080</v>
      </c>
      <c r="W70" s="378">
        <v>1</v>
      </c>
      <c r="X70" s="423"/>
      <c r="Y70" s="377"/>
      <c r="Z70" s="378"/>
      <c r="AA70" s="340">
        <f t="shared" si="7"/>
        <v>18</v>
      </c>
      <c r="AB70" s="461">
        <f t="shared" si="6"/>
        <v>0.8571428571428571</v>
      </c>
      <c r="AC70" s="460"/>
      <c r="AD70" s="380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</row>
    <row r="71" spans="1:45" ht="20" hidden="1" customHeight="1">
      <c r="A71" s="286">
        <v>25051</v>
      </c>
      <c r="B71" s="530" t="s">
        <v>1175</v>
      </c>
      <c r="C71" s="288" t="s">
        <v>54</v>
      </c>
      <c r="D71" s="531" t="s">
        <v>1176</v>
      </c>
      <c r="E71" s="71">
        <v>32</v>
      </c>
      <c r="F71" s="518" t="s">
        <v>1080</v>
      </c>
      <c r="G71" s="76">
        <v>1</v>
      </c>
      <c r="H71" s="376" t="s">
        <v>1080</v>
      </c>
      <c r="I71" s="377">
        <v>1</v>
      </c>
      <c r="J71" s="377">
        <v>1</v>
      </c>
      <c r="K71" s="377">
        <v>1</v>
      </c>
      <c r="L71" s="377">
        <v>1</v>
      </c>
      <c r="M71" s="378">
        <v>1</v>
      </c>
      <c r="N71" s="379">
        <v>1</v>
      </c>
      <c r="O71" s="377" t="s">
        <v>1080</v>
      </c>
      <c r="P71" s="377">
        <v>1</v>
      </c>
      <c r="Q71" s="377">
        <v>1</v>
      </c>
      <c r="R71" s="377">
        <v>1</v>
      </c>
      <c r="S71" s="377">
        <v>1</v>
      </c>
      <c r="T71" s="377">
        <v>1</v>
      </c>
      <c r="U71" s="377">
        <v>1</v>
      </c>
      <c r="V71" s="377" t="s">
        <v>1080</v>
      </c>
      <c r="W71" s="378">
        <v>1</v>
      </c>
      <c r="X71" s="423">
        <v>1</v>
      </c>
      <c r="Y71" s="377">
        <v>1</v>
      </c>
      <c r="Z71" s="378">
        <v>1</v>
      </c>
      <c r="AA71" s="340">
        <f t="shared" si="7"/>
        <v>21</v>
      </c>
      <c r="AB71" s="461">
        <f t="shared" si="6"/>
        <v>1</v>
      </c>
      <c r="AC71" s="460" t="s">
        <v>471</v>
      </c>
      <c r="AD71" s="380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</row>
    <row r="72" spans="1:45" ht="20" customHeight="1">
      <c r="A72" s="286">
        <v>25062</v>
      </c>
      <c r="B72" s="530" t="s">
        <v>1177</v>
      </c>
      <c r="C72" s="288" t="s">
        <v>1178</v>
      </c>
      <c r="D72" s="531" t="s">
        <v>1080</v>
      </c>
      <c r="E72" s="71">
        <v>45</v>
      </c>
      <c r="F72" s="518">
        <v>1</v>
      </c>
      <c r="G72" s="76">
        <v>1</v>
      </c>
      <c r="H72" s="376">
        <v>1</v>
      </c>
      <c r="I72" s="377">
        <v>1</v>
      </c>
      <c r="J72" s="377" t="s">
        <v>1080</v>
      </c>
      <c r="K72" s="377" t="s">
        <v>1080</v>
      </c>
      <c r="L72" s="377">
        <v>1</v>
      </c>
      <c r="M72" s="378">
        <v>1</v>
      </c>
      <c r="N72" s="379" t="s">
        <v>1080</v>
      </c>
      <c r="O72" s="377" t="s">
        <v>1080</v>
      </c>
      <c r="P72" s="377">
        <v>1</v>
      </c>
      <c r="Q72" s="377">
        <v>1</v>
      </c>
      <c r="R72" s="377" t="s">
        <v>1080</v>
      </c>
      <c r="S72" s="377" t="s">
        <v>1080</v>
      </c>
      <c r="T72" s="377">
        <v>1</v>
      </c>
      <c r="U72" s="377" t="s">
        <v>1080</v>
      </c>
      <c r="V72" s="377">
        <v>1</v>
      </c>
      <c r="W72" s="378">
        <v>1</v>
      </c>
      <c r="X72" s="423"/>
      <c r="Y72" s="377"/>
      <c r="Z72" s="378"/>
      <c r="AA72" s="340">
        <f t="shared" si="7"/>
        <v>18</v>
      </c>
      <c r="AB72" s="461">
        <f t="shared" si="6"/>
        <v>0.8571428571428571</v>
      </c>
      <c r="AC72" s="460"/>
      <c r="AD72" s="380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</row>
    <row r="73" spans="1:45" ht="20" hidden="1" customHeight="1">
      <c r="A73" s="286">
        <v>25064</v>
      </c>
      <c r="B73" s="530" t="s">
        <v>1179</v>
      </c>
      <c r="C73" s="288" t="s">
        <v>54</v>
      </c>
      <c r="D73" s="531" t="s">
        <v>1098</v>
      </c>
      <c r="E73" s="71">
        <v>43</v>
      </c>
      <c r="F73" s="518" t="s">
        <v>1080</v>
      </c>
      <c r="G73" s="76">
        <v>1</v>
      </c>
      <c r="H73" s="376" t="s">
        <v>1080</v>
      </c>
      <c r="I73" s="377">
        <v>1</v>
      </c>
      <c r="J73" s="377">
        <v>1</v>
      </c>
      <c r="K73" s="377">
        <v>1</v>
      </c>
      <c r="L73" s="377">
        <v>1</v>
      </c>
      <c r="M73" s="378">
        <v>1</v>
      </c>
      <c r="N73" s="379">
        <v>1</v>
      </c>
      <c r="O73" s="377">
        <v>1</v>
      </c>
      <c r="P73" s="377">
        <v>1</v>
      </c>
      <c r="Q73" s="377">
        <v>1</v>
      </c>
      <c r="R73" s="377">
        <v>1</v>
      </c>
      <c r="S73" s="377">
        <v>1</v>
      </c>
      <c r="T73" s="377">
        <v>1</v>
      </c>
      <c r="U73" s="377">
        <v>1</v>
      </c>
      <c r="V73" s="377" t="s">
        <v>1080</v>
      </c>
      <c r="W73" s="378">
        <v>1</v>
      </c>
      <c r="X73" s="423">
        <v>1</v>
      </c>
      <c r="Y73" s="377">
        <v>1</v>
      </c>
      <c r="Z73" s="378">
        <v>1</v>
      </c>
      <c r="AA73" s="340">
        <f t="shared" si="7"/>
        <v>21</v>
      </c>
      <c r="AB73" s="461">
        <f t="shared" si="6"/>
        <v>1</v>
      </c>
      <c r="AC73" s="460" t="s">
        <v>471</v>
      </c>
      <c r="AD73" s="380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</row>
    <row r="74" spans="1:45" ht="20" customHeight="1">
      <c r="A74" s="286">
        <v>25071</v>
      </c>
      <c r="B74" s="530" t="s">
        <v>1180</v>
      </c>
      <c r="C74" s="288" t="s">
        <v>336</v>
      </c>
      <c r="D74" s="531" t="s">
        <v>1181</v>
      </c>
      <c r="E74" s="71"/>
      <c r="F74" s="518"/>
      <c r="G74" s="76"/>
      <c r="H74" s="376">
        <v>1</v>
      </c>
      <c r="I74" s="377"/>
      <c r="J74" s="377"/>
      <c r="K74" s="377"/>
      <c r="L74" s="377"/>
      <c r="M74" s="378"/>
      <c r="N74" s="379"/>
      <c r="O74" s="377"/>
      <c r="P74" s="377"/>
      <c r="Q74" s="377"/>
      <c r="R74" s="377"/>
      <c r="S74" s="377"/>
      <c r="T74" s="377"/>
      <c r="U74" s="377"/>
      <c r="V74" s="377"/>
      <c r="W74" s="378"/>
      <c r="X74" s="423"/>
      <c r="Y74" s="377"/>
      <c r="Z74" s="378"/>
      <c r="AA74" s="340">
        <f t="shared" si="7"/>
        <v>1</v>
      </c>
      <c r="AB74" s="461">
        <f t="shared" si="6"/>
        <v>4.7619047619047616E-2</v>
      </c>
      <c r="AC74" s="460"/>
      <c r="AD74" s="380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</row>
    <row r="75" spans="1:45" ht="20" customHeight="1">
      <c r="A75" s="286">
        <v>25076</v>
      </c>
      <c r="B75" s="530" t="s">
        <v>1182</v>
      </c>
      <c r="C75" s="288" t="s">
        <v>54</v>
      </c>
      <c r="D75" s="531" t="s">
        <v>1108</v>
      </c>
      <c r="E75" s="71">
        <v>41</v>
      </c>
      <c r="F75" s="518"/>
      <c r="G75" s="76"/>
      <c r="H75" s="376"/>
      <c r="I75" s="377"/>
      <c r="J75" s="377"/>
      <c r="K75" s="377"/>
      <c r="L75" s="377"/>
      <c r="M75" s="378"/>
      <c r="N75" s="379"/>
      <c r="O75" s="377"/>
      <c r="P75" s="377"/>
      <c r="Q75" s="377"/>
      <c r="R75" s="377"/>
      <c r="S75" s="377"/>
      <c r="T75" s="377"/>
      <c r="U75" s="377"/>
      <c r="V75" s="377"/>
      <c r="W75" s="378"/>
      <c r="X75" s="423"/>
      <c r="Y75" s="377"/>
      <c r="Z75" s="378"/>
      <c r="AA75" s="340">
        <f t="shared" si="7"/>
        <v>0</v>
      </c>
      <c r="AB75" s="461">
        <f t="shared" si="6"/>
        <v>0</v>
      </c>
      <c r="AC75" s="460"/>
      <c r="AD75" s="380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</row>
    <row r="76" spans="1:45" ht="20" customHeight="1">
      <c r="A76" s="286">
        <v>25087</v>
      </c>
      <c r="B76" s="530" t="s">
        <v>1183</v>
      </c>
      <c r="C76" s="288" t="s">
        <v>54</v>
      </c>
      <c r="D76" s="288" t="s">
        <v>1176</v>
      </c>
      <c r="E76" s="71">
        <v>40</v>
      </c>
      <c r="F76" s="518"/>
      <c r="G76" s="76"/>
      <c r="H76" s="376"/>
      <c r="I76" s="377"/>
      <c r="J76" s="377"/>
      <c r="K76" s="377"/>
      <c r="L76" s="377"/>
      <c r="M76" s="378"/>
      <c r="N76" s="379"/>
      <c r="O76" s="377"/>
      <c r="P76" s="377"/>
      <c r="Q76" s="377"/>
      <c r="R76" s="377"/>
      <c r="S76" s="377"/>
      <c r="T76" s="377"/>
      <c r="U76" s="377"/>
      <c r="V76" s="377"/>
      <c r="W76" s="378"/>
      <c r="X76" s="423"/>
      <c r="Y76" s="377"/>
      <c r="Z76" s="378"/>
      <c r="AA76" s="340">
        <f t="shared" si="7"/>
        <v>0</v>
      </c>
      <c r="AB76" s="461">
        <f t="shared" si="6"/>
        <v>0</v>
      </c>
      <c r="AC76" s="460"/>
      <c r="AD76" s="380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</row>
    <row r="77" spans="1:45" ht="20" customHeight="1">
      <c r="A77" s="286">
        <v>25094</v>
      </c>
      <c r="B77" s="530" t="s">
        <v>1184</v>
      </c>
      <c r="C77" s="288" t="s">
        <v>54</v>
      </c>
      <c r="D77" s="531" t="s">
        <v>1083</v>
      </c>
      <c r="E77" s="71">
        <v>46</v>
      </c>
      <c r="F77" s="518"/>
      <c r="G77" s="76"/>
      <c r="H77" s="376"/>
      <c r="I77" s="377"/>
      <c r="J77" s="377"/>
      <c r="K77" s="377"/>
      <c r="L77" s="377"/>
      <c r="M77" s="378"/>
      <c r="N77" s="379"/>
      <c r="O77" s="377"/>
      <c r="P77" s="377"/>
      <c r="Q77" s="377"/>
      <c r="R77" s="377"/>
      <c r="S77" s="377"/>
      <c r="T77" s="377"/>
      <c r="U77" s="377"/>
      <c r="V77" s="377"/>
      <c r="W77" s="378"/>
      <c r="X77" s="423"/>
      <c r="Y77" s="377"/>
      <c r="Z77" s="378"/>
      <c r="AA77" s="340">
        <f t="shared" si="7"/>
        <v>0</v>
      </c>
      <c r="AB77" s="461">
        <f t="shared" si="6"/>
        <v>0</v>
      </c>
      <c r="AC77" s="460"/>
      <c r="AD77" s="380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</row>
    <row r="78" spans="1:45" ht="20" customHeight="1">
      <c r="A78" s="286">
        <v>24105</v>
      </c>
      <c r="B78" s="530" t="s">
        <v>1185</v>
      </c>
      <c r="C78" s="288" t="s">
        <v>54</v>
      </c>
      <c r="D78" s="531" t="s">
        <v>1086</v>
      </c>
      <c r="E78" s="71"/>
      <c r="F78" s="518"/>
      <c r="G78" s="76"/>
      <c r="H78" s="376"/>
      <c r="I78" s="377"/>
      <c r="J78" s="377"/>
      <c r="K78" s="377"/>
      <c r="L78" s="377"/>
      <c r="M78" s="378"/>
      <c r="N78" s="379"/>
      <c r="O78" s="377"/>
      <c r="P78" s="377"/>
      <c r="Q78" s="377"/>
      <c r="R78" s="377"/>
      <c r="S78" s="377"/>
      <c r="T78" s="377"/>
      <c r="U78" s="377"/>
      <c r="V78" s="377"/>
      <c r="W78" s="378"/>
      <c r="X78" s="423"/>
      <c r="Y78" s="377"/>
      <c r="Z78" s="378"/>
      <c r="AA78" s="340">
        <f t="shared" si="7"/>
        <v>0</v>
      </c>
      <c r="AB78" s="461">
        <f t="shared" si="6"/>
        <v>0</v>
      </c>
      <c r="AC78" s="460"/>
      <c r="AD78" s="380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</row>
    <row r="79" spans="1:45" ht="20" customHeight="1">
      <c r="A79" s="286">
        <v>25056</v>
      </c>
      <c r="B79" s="530" t="s">
        <v>1186</v>
      </c>
      <c r="C79" s="288" t="s">
        <v>54</v>
      </c>
      <c r="D79" s="531" t="s">
        <v>1108</v>
      </c>
      <c r="E79" s="71"/>
      <c r="F79" s="518"/>
      <c r="G79" s="76"/>
      <c r="H79" s="376"/>
      <c r="I79" s="377"/>
      <c r="J79" s="377"/>
      <c r="K79" s="377"/>
      <c r="L79" s="377"/>
      <c r="M79" s="378"/>
      <c r="N79" s="379"/>
      <c r="O79" s="377"/>
      <c r="P79" s="377"/>
      <c r="Q79" s="377"/>
      <c r="R79" s="377"/>
      <c r="S79" s="377"/>
      <c r="T79" s="377"/>
      <c r="U79" s="377"/>
      <c r="V79" s="377"/>
      <c r="W79" s="378"/>
      <c r="X79" s="423"/>
      <c r="Y79" s="377"/>
      <c r="Z79" s="378"/>
      <c r="AA79" s="340">
        <f t="shared" si="7"/>
        <v>0</v>
      </c>
      <c r="AB79" s="461">
        <f t="shared" si="6"/>
        <v>0</v>
      </c>
      <c r="AC79" s="460"/>
      <c r="AD79" s="380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</row>
    <row r="80" spans="1:45" ht="20" customHeight="1">
      <c r="A80" s="286">
        <v>25055</v>
      </c>
      <c r="B80" s="530" t="s">
        <v>1187</v>
      </c>
      <c r="C80" s="288" t="s">
        <v>54</v>
      </c>
      <c r="D80" s="531" t="s">
        <v>1141</v>
      </c>
      <c r="E80" s="71">
        <v>47</v>
      </c>
      <c r="F80" s="518">
        <v>1</v>
      </c>
      <c r="G80" s="76">
        <v>1</v>
      </c>
      <c r="H80" s="376" t="s">
        <v>1080</v>
      </c>
      <c r="I80" s="377">
        <v>1</v>
      </c>
      <c r="J80" s="377">
        <v>1</v>
      </c>
      <c r="K80" s="377">
        <v>1</v>
      </c>
      <c r="L80" s="377">
        <v>1</v>
      </c>
      <c r="M80" s="378">
        <v>1</v>
      </c>
      <c r="N80" s="379">
        <v>1</v>
      </c>
      <c r="O80" s="377">
        <v>1</v>
      </c>
      <c r="P80" s="377">
        <v>1</v>
      </c>
      <c r="Q80" s="377">
        <v>1</v>
      </c>
      <c r="R80" s="377">
        <v>1</v>
      </c>
      <c r="S80" s="377">
        <v>1</v>
      </c>
      <c r="T80" s="377">
        <v>1</v>
      </c>
      <c r="U80" s="377">
        <v>1</v>
      </c>
      <c r="V80" s="377"/>
      <c r="W80" s="378"/>
      <c r="X80" s="423"/>
      <c r="Y80" s="377"/>
      <c r="Z80" s="378"/>
      <c r="AA80" s="340">
        <f t="shared" si="7"/>
        <v>16</v>
      </c>
      <c r="AB80" s="461">
        <f t="shared" si="6"/>
        <v>0.76190476190476186</v>
      </c>
      <c r="AC80" s="460"/>
      <c r="AD80" s="380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</row>
    <row r="81" spans="1:45" ht="20" customHeight="1">
      <c r="A81" s="286">
        <v>25068</v>
      </c>
      <c r="B81" s="530" t="s">
        <v>1188</v>
      </c>
      <c r="C81" s="288" t="s">
        <v>54</v>
      </c>
      <c r="D81" s="531" t="s">
        <v>1098</v>
      </c>
      <c r="E81" s="71"/>
      <c r="F81" s="518"/>
      <c r="G81" s="76"/>
      <c r="H81" s="376"/>
      <c r="I81" s="377"/>
      <c r="J81" s="377"/>
      <c r="K81" s="377"/>
      <c r="L81" s="377"/>
      <c r="M81" s="378"/>
      <c r="N81" s="379"/>
      <c r="O81" s="377"/>
      <c r="P81" s="377"/>
      <c r="Q81" s="377"/>
      <c r="R81" s="377"/>
      <c r="S81" s="377"/>
      <c r="T81" s="377"/>
      <c r="U81" s="377"/>
      <c r="V81" s="377"/>
      <c r="W81" s="378"/>
      <c r="X81" s="423"/>
      <c r="Y81" s="377"/>
      <c r="Z81" s="378"/>
      <c r="AA81" s="340">
        <f t="shared" si="7"/>
        <v>0</v>
      </c>
      <c r="AB81" s="461">
        <f t="shared" si="6"/>
        <v>0</v>
      </c>
      <c r="AC81" s="460"/>
      <c r="AD81" s="380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</row>
    <row r="82" spans="1:45" ht="20" customHeight="1">
      <c r="A82" s="286">
        <v>25104</v>
      </c>
      <c r="B82" s="530" t="s">
        <v>1189</v>
      </c>
      <c r="C82" s="288" t="s">
        <v>54</v>
      </c>
      <c r="D82" s="531" t="s">
        <v>1086</v>
      </c>
      <c r="E82" s="71">
        <v>2</v>
      </c>
      <c r="F82" s="518">
        <v>1</v>
      </c>
      <c r="G82" s="76">
        <v>1</v>
      </c>
      <c r="H82" s="376" t="s">
        <v>1080</v>
      </c>
      <c r="I82" s="377">
        <v>1</v>
      </c>
      <c r="J82" s="377">
        <v>1</v>
      </c>
      <c r="K82" s="377"/>
      <c r="L82" s="377"/>
      <c r="M82" s="378">
        <v>1</v>
      </c>
      <c r="N82" s="379"/>
      <c r="O82" s="377"/>
      <c r="P82" s="377"/>
      <c r="Q82" s="377"/>
      <c r="R82" s="377"/>
      <c r="S82" s="377"/>
      <c r="T82" s="377"/>
      <c r="U82" s="377"/>
      <c r="V82" s="377"/>
      <c r="W82" s="378"/>
      <c r="X82" s="423"/>
      <c r="Y82" s="377"/>
      <c r="Z82" s="378"/>
      <c r="AA82" s="340">
        <f t="shared" si="7"/>
        <v>6</v>
      </c>
      <c r="AB82" s="461">
        <f t="shared" si="6"/>
        <v>0.2857142857142857</v>
      </c>
      <c r="AC82" s="460"/>
      <c r="AD82" s="380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</row>
    <row r="83" spans="1:45" ht="20" customHeight="1">
      <c r="A83" s="286">
        <v>25029</v>
      </c>
      <c r="B83" s="530" t="s">
        <v>1190</v>
      </c>
      <c r="C83" s="288" t="s">
        <v>54</v>
      </c>
      <c r="D83" s="531"/>
      <c r="E83" s="71"/>
      <c r="F83" s="518"/>
      <c r="G83" s="76"/>
      <c r="H83" s="376"/>
      <c r="I83" s="377"/>
      <c r="J83" s="377"/>
      <c r="K83" s="377"/>
      <c r="L83" s="377"/>
      <c r="M83" s="378"/>
      <c r="N83" s="379"/>
      <c r="O83" s="377"/>
      <c r="P83" s="377"/>
      <c r="Q83" s="377"/>
      <c r="R83" s="377"/>
      <c r="S83" s="377"/>
      <c r="T83" s="377"/>
      <c r="U83" s="377"/>
      <c r="V83" s="377"/>
      <c r="W83" s="378"/>
      <c r="X83" s="423"/>
      <c r="Y83" s="377"/>
      <c r="Z83" s="378"/>
      <c r="AA83" s="340">
        <f t="shared" si="7"/>
        <v>0</v>
      </c>
      <c r="AB83" s="461">
        <f t="shared" si="6"/>
        <v>0</v>
      </c>
      <c r="AC83" s="460"/>
      <c r="AD83" s="380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</row>
    <row r="84" spans="1:45" ht="20" customHeight="1">
      <c r="A84" s="286">
        <v>25053</v>
      </c>
      <c r="B84" s="530" t="s">
        <v>1191</v>
      </c>
      <c r="C84" s="288" t="s">
        <v>54</v>
      </c>
      <c r="D84" s="531"/>
      <c r="E84" s="71"/>
      <c r="F84" s="518" t="s">
        <v>1080</v>
      </c>
      <c r="G84" s="76"/>
      <c r="H84" s="376"/>
      <c r="I84" s="377">
        <v>1</v>
      </c>
      <c r="J84" s="377">
        <v>1</v>
      </c>
      <c r="K84" s="377"/>
      <c r="L84" s="377"/>
      <c r="M84" s="378"/>
      <c r="N84" s="379"/>
      <c r="O84" s="377"/>
      <c r="P84" s="377"/>
      <c r="Q84" s="377"/>
      <c r="R84" s="377"/>
      <c r="S84" s="377"/>
      <c r="T84" s="377"/>
      <c r="U84" s="377"/>
      <c r="V84" s="377"/>
      <c r="W84" s="378"/>
      <c r="X84" s="423"/>
      <c r="Y84" s="377"/>
      <c r="Z84" s="378"/>
      <c r="AA84" s="340">
        <f t="shared" si="7"/>
        <v>3</v>
      </c>
      <c r="AB84" s="461">
        <f t="shared" si="6"/>
        <v>0.14285714285714285</v>
      </c>
      <c r="AC84" s="460"/>
      <c r="AD84" s="380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</row>
    <row r="85" spans="1:45" ht="20" customHeight="1">
      <c r="A85" s="286">
        <v>25003</v>
      </c>
      <c r="B85" s="530" t="s">
        <v>1192</v>
      </c>
      <c r="C85" s="288" t="s">
        <v>54</v>
      </c>
      <c r="D85" s="531" t="s">
        <v>1193</v>
      </c>
      <c r="E85" s="71">
        <v>41</v>
      </c>
      <c r="F85" s="518" t="s">
        <v>1080</v>
      </c>
      <c r="G85" s="76">
        <v>1</v>
      </c>
      <c r="H85" s="376" t="s">
        <v>1080</v>
      </c>
      <c r="I85" s="377">
        <v>1</v>
      </c>
      <c r="J85" s="377">
        <v>1</v>
      </c>
      <c r="K85" s="377">
        <v>1</v>
      </c>
      <c r="L85" s="377">
        <v>1</v>
      </c>
      <c r="M85" s="378">
        <v>1</v>
      </c>
      <c r="N85" s="379">
        <v>1</v>
      </c>
      <c r="O85" s="377" t="s">
        <v>1080</v>
      </c>
      <c r="P85" s="377">
        <v>1</v>
      </c>
      <c r="Q85" s="377">
        <v>1</v>
      </c>
      <c r="R85" s="377">
        <v>1</v>
      </c>
      <c r="S85" s="377">
        <v>1</v>
      </c>
      <c r="T85" s="377">
        <v>1</v>
      </c>
      <c r="U85" s="377">
        <v>1</v>
      </c>
      <c r="V85" s="377" t="s">
        <v>1080</v>
      </c>
      <c r="W85" s="378">
        <v>1</v>
      </c>
      <c r="X85" s="423"/>
      <c r="Y85" s="377">
        <v>1</v>
      </c>
      <c r="Z85" s="378"/>
      <c r="AA85" s="340">
        <f t="shared" si="7"/>
        <v>19</v>
      </c>
      <c r="AB85" s="461">
        <f t="shared" si="6"/>
        <v>0.90476190476190477</v>
      </c>
      <c r="AC85" s="460"/>
      <c r="AD85" s="380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</row>
    <row r="86" spans="1:45" ht="20" customHeight="1">
      <c r="A86" s="286">
        <v>24014</v>
      </c>
      <c r="B86" s="530" t="s">
        <v>1194</v>
      </c>
      <c r="C86" s="287" t="s">
        <v>54</v>
      </c>
      <c r="D86" s="531" t="s">
        <v>1083</v>
      </c>
      <c r="E86" s="71">
        <v>43</v>
      </c>
      <c r="F86" s="518">
        <v>0</v>
      </c>
      <c r="G86" s="76">
        <v>1</v>
      </c>
      <c r="H86" s="376" t="s">
        <v>1080</v>
      </c>
      <c r="I86" s="377">
        <v>1</v>
      </c>
      <c r="J86" s="377">
        <v>1</v>
      </c>
      <c r="K86" s="377"/>
      <c r="L86" s="377">
        <v>1</v>
      </c>
      <c r="M86" s="378">
        <v>1</v>
      </c>
      <c r="N86" s="379">
        <v>0.9</v>
      </c>
      <c r="O86" s="377">
        <v>0.9</v>
      </c>
      <c r="P86" s="377"/>
      <c r="Q86" s="377">
        <v>0.9</v>
      </c>
      <c r="R86" s="377">
        <v>0.9</v>
      </c>
      <c r="S86" s="377">
        <v>0.9</v>
      </c>
      <c r="T86" s="377">
        <v>0.9</v>
      </c>
      <c r="U86" s="377">
        <v>0.9</v>
      </c>
      <c r="V86" s="377" t="s">
        <v>1080</v>
      </c>
      <c r="W86" s="378"/>
      <c r="X86" s="423"/>
      <c r="Y86" s="377"/>
      <c r="Z86" s="378"/>
      <c r="AA86" s="340">
        <f t="shared" si="7"/>
        <v>15</v>
      </c>
      <c r="AB86" s="461">
        <f t="shared" si="6"/>
        <v>0.7142857142857143</v>
      </c>
      <c r="AC86" s="460"/>
      <c r="AD86" s="380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</row>
    <row r="87" spans="1:45" ht="20" customHeight="1">
      <c r="A87" s="286">
        <v>25082</v>
      </c>
      <c r="B87" s="530" t="s">
        <v>1195</v>
      </c>
      <c r="C87" s="288" t="s">
        <v>164</v>
      </c>
      <c r="D87" s="531" t="s">
        <v>1080</v>
      </c>
      <c r="E87" s="71">
        <v>49</v>
      </c>
      <c r="F87" s="518">
        <v>1</v>
      </c>
      <c r="G87" s="76">
        <v>1</v>
      </c>
      <c r="H87" s="376">
        <v>1</v>
      </c>
      <c r="I87" s="377">
        <v>1</v>
      </c>
      <c r="J87" s="377">
        <v>1</v>
      </c>
      <c r="K87" s="377">
        <v>1</v>
      </c>
      <c r="L87" s="377">
        <v>1</v>
      </c>
      <c r="M87" s="378">
        <v>1</v>
      </c>
      <c r="N87" s="379">
        <v>1</v>
      </c>
      <c r="O87" s="377" t="s">
        <v>1080</v>
      </c>
      <c r="P87" s="377">
        <v>1</v>
      </c>
      <c r="Q87" s="377">
        <v>1</v>
      </c>
      <c r="R87" s="377" t="s">
        <v>1080</v>
      </c>
      <c r="S87" s="377">
        <v>1</v>
      </c>
      <c r="T87" s="377">
        <v>1</v>
      </c>
      <c r="U87" s="377">
        <v>1</v>
      </c>
      <c r="V87" s="377"/>
      <c r="W87" s="378">
        <v>1</v>
      </c>
      <c r="X87" s="423"/>
      <c r="Y87" s="377"/>
      <c r="Z87" s="378"/>
      <c r="AA87" s="340">
        <f t="shared" si="7"/>
        <v>17</v>
      </c>
      <c r="AB87" s="461">
        <f t="shared" si="6"/>
        <v>0.80952380952380953</v>
      </c>
      <c r="AC87" s="460"/>
      <c r="AD87" s="380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</row>
    <row r="88" spans="1:45" ht="20" customHeight="1">
      <c r="A88" s="286">
        <v>25010</v>
      </c>
      <c r="B88" s="530" t="s">
        <v>1196</v>
      </c>
      <c r="C88" s="288" t="s">
        <v>54</v>
      </c>
      <c r="D88" s="531" t="s">
        <v>1079</v>
      </c>
      <c r="E88" s="71">
        <v>49</v>
      </c>
      <c r="F88" s="518"/>
      <c r="G88" s="76"/>
      <c r="H88" s="376"/>
      <c r="I88" s="377"/>
      <c r="J88" s="377">
        <v>1</v>
      </c>
      <c r="K88" s="377"/>
      <c r="L88" s="377"/>
      <c r="M88" s="378"/>
      <c r="N88" s="379"/>
      <c r="O88" s="377"/>
      <c r="P88" s="377"/>
      <c r="Q88" s="377"/>
      <c r="R88" s="377"/>
      <c r="S88" s="377"/>
      <c r="T88" s="377"/>
      <c r="U88" s="377"/>
      <c r="V88" s="377"/>
      <c r="W88" s="378"/>
      <c r="X88" s="423"/>
      <c r="Y88" s="377"/>
      <c r="Z88" s="378"/>
      <c r="AA88" s="340">
        <f t="shared" si="7"/>
        <v>1</v>
      </c>
      <c r="AB88" s="461">
        <f t="shared" si="6"/>
        <v>4.7619047619047616E-2</v>
      </c>
      <c r="AC88" s="460"/>
      <c r="AD88" s="380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</row>
    <row r="89" spans="1:45" ht="20" customHeight="1">
      <c r="A89" s="286">
        <v>25106</v>
      </c>
      <c r="B89" s="530" t="s">
        <v>1197</v>
      </c>
      <c r="C89" s="288" t="s">
        <v>54</v>
      </c>
      <c r="D89" s="531" t="s">
        <v>1079</v>
      </c>
      <c r="E89" s="71">
        <v>48</v>
      </c>
      <c r="F89" s="518"/>
      <c r="G89" s="76"/>
      <c r="H89" s="376"/>
      <c r="I89" s="377"/>
      <c r="J89" s="377"/>
      <c r="K89" s="377"/>
      <c r="L89" s="377"/>
      <c r="M89" s="378"/>
      <c r="N89" s="379"/>
      <c r="O89" s="377"/>
      <c r="P89" s="377"/>
      <c r="Q89" s="377"/>
      <c r="R89" s="377"/>
      <c r="S89" s="377"/>
      <c r="T89" s="377"/>
      <c r="U89" s="377"/>
      <c r="V89" s="377"/>
      <c r="W89" s="378"/>
      <c r="X89" s="423"/>
      <c r="Y89" s="377"/>
      <c r="Z89" s="378"/>
      <c r="AA89" s="340">
        <f t="shared" si="7"/>
        <v>0</v>
      </c>
      <c r="AB89" s="461">
        <f t="shared" si="6"/>
        <v>0</v>
      </c>
      <c r="AC89" s="460"/>
      <c r="AD89" s="380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</row>
    <row r="90" spans="1:45" ht="20" customHeight="1">
      <c r="A90" s="286">
        <v>25140</v>
      </c>
      <c r="B90" s="530" t="s">
        <v>1198</v>
      </c>
      <c r="C90" s="288" t="s">
        <v>54</v>
      </c>
      <c r="D90" s="531" t="s">
        <v>1086</v>
      </c>
      <c r="E90" s="71">
        <v>4</v>
      </c>
      <c r="F90" s="518"/>
      <c r="G90" s="76"/>
      <c r="H90" s="376"/>
      <c r="I90" s="377"/>
      <c r="J90" s="377"/>
      <c r="K90" s="377"/>
      <c r="L90" s="377"/>
      <c r="M90" s="378"/>
      <c r="N90" s="379"/>
      <c r="O90" s="377"/>
      <c r="P90" s="377"/>
      <c r="Q90" s="377"/>
      <c r="R90" s="377"/>
      <c r="S90" s="377"/>
      <c r="T90" s="377"/>
      <c r="U90" s="377"/>
      <c r="V90" s="377"/>
      <c r="W90" s="378"/>
      <c r="X90" s="423"/>
      <c r="Y90" s="377"/>
      <c r="Z90" s="378"/>
      <c r="AA90" s="340">
        <f t="shared" si="7"/>
        <v>0</v>
      </c>
      <c r="AB90" s="461">
        <f t="shared" si="6"/>
        <v>0</v>
      </c>
      <c r="AC90" s="460"/>
      <c r="AD90" s="380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</row>
    <row r="91" spans="1:45" ht="20" customHeight="1">
      <c r="A91" s="286">
        <v>24104</v>
      </c>
      <c r="B91" s="530" t="s">
        <v>1199</v>
      </c>
      <c r="C91" s="288" t="s">
        <v>54</v>
      </c>
      <c r="D91" s="531" t="s">
        <v>1086</v>
      </c>
      <c r="E91" s="71">
        <v>49</v>
      </c>
      <c r="F91" s="518" t="s">
        <v>1080</v>
      </c>
      <c r="G91" s="76">
        <v>1</v>
      </c>
      <c r="H91" s="376" t="s">
        <v>1080</v>
      </c>
      <c r="I91" s="377">
        <v>1</v>
      </c>
      <c r="J91" s="377">
        <v>1</v>
      </c>
      <c r="K91" s="377">
        <v>1</v>
      </c>
      <c r="L91" s="377">
        <v>1</v>
      </c>
      <c r="M91" s="378">
        <v>1</v>
      </c>
      <c r="N91" s="379">
        <v>1</v>
      </c>
      <c r="O91" s="377" t="s">
        <v>1080</v>
      </c>
      <c r="P91" s="377">
        <v>1</v>
      </c>
      <c r="Q91" s="377">
        <v>1</v>
      </c>
      <c r="R91" s="377">
        <v>1</v>
      </c>
      <c r="S91" s="377">
        <v>1</v>
      </c>
      <c r="T91" s="377">
        <v>1</v>
      </c>
      <c r="U91" s="377">
        <v>1</v>
      </c>
      <c r="V91" s="377"/>
      <c r="W91" s="378">
        <v>1</v>
      </c>
      <c r="X91" s="423"/>
      <c r="Y91" s="377"/>
      <c r="Z91" s="378"/>
      <c r="AA91" s="340">
        <f t="shared" si="7"/>
        <v>17</v>
      </c>
      <c r="AB91" s="461">
        <f t="shared" si="6"/>
        <v>0.80952380952380953</v>
      </c>
      <c r="AC91" s="460"/>
      <c r="AD91" s="380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</row>
    <row r="92" spans="1:45" ht="20" customHeight="1">
      <c r="A92" s="286">
        <v>25139</v>
      </c>
      <c r="B92" s="530" t="s">
        <v>744</v>
      </c>
      <c r="C92" s="288" t="s">
        <v>54</v>
      </c>
      <c r="D92" s="531" t="s">
        <v>1079</v>
      </c>
      <c r="E92" s="71">
        <v>4</v>
      </c>
      <c r="F92" s="518"/>
      <c r="G92" s="76"/>
      <c r="H92" s="376"/>
      <c r="I92" s="377">
        <v>1</v>
      </c>
      <c r="J92" s="377">
        <v>1</v>
      </c>
      <c r="K92" s="377" t="s">
        <v>1080</v>
      </c>
      <c r="L92" s="377"/>
      <c r="M92" s="378">
        <v>1</v>
      </c>
      <c r="N92" s="379"/>
      <c r="O92" s="377"/>
      <c r="P92" s="377"/>
      <c r="Q92" s="377"/>
      <c r="R92" s="377"/>
      <c r="S92" s="377"/>
      <c r="T92" s="377"/>
      <c r="U92" s="377"/>
      <c r="V92" s="377"/>
      <c r="W92" s="378"/>
      <c r="X92" s="423"/>
      <c r="Y92" s="377"/>
      <c r="Z92" s="378"/>
      <c r="AA92" s="340">
        <f t="shared" si="7"/>
        <v>4</v>
      </c>
      <c r="AB92" s="461">
        <f t="shared" si="6"/>
        <v>0.19047619047619047</v>
      </c>
      <c r="AC92" s="460"/>
      <c r="AD92" s="380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</row>
    <row r="93" spans="1:45" ht="20" customHeight="1">
      <c r="A93" s="286"/>
      <c r="B93" s="530"/>
      <c r="C93" s="288"/>
      <c r="D93" s="531"/>
      <c r="E93" s="71"/>
      <c r="F93" s="518"/>
      <c r="G93" s="76"/>
      <c r="H93" s="376"/>
      <c r="I93" s="377"/>
      <c r="J93" s="377"/>
      <c r="K93" s="377"/>
      <c r="L93" s="377"/>
      <c r="M93" s="378"/>
      <c r="N93" s="379"/>
      <c r="O93" s="377"/>
      <c r="P93" s="377"/>
      <c r="Q93" s="377"/>
      <c r="R93" s="377"/>
      <c r="S93" s="377"/>
      <c r="T93" s="377"/>
      <c r="U93" s="377"/>
      <c r="V93" s="377"/>
      <c r="W93" s="378"/>
      <c r="X93" s="423"/>
      <c r="Y93" s="377"/>
      <c r="Z93" s="378"/>
      <c r="AA93" s="340" t="str">
        <f t="shared" si="7"/>
        <v/>
      </c>
      <c r="AB93" s="461" t="str">
        <f t="shared" si="6"/>
        <v/>
      </c>
      <c r="AC93" s="460"/>
      <c r="AD93" s="380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</row>
    <row r="94" spans="1:45" ht="20" customHeight="1">
      <c r="A94" s="286"/>
      <c r="B94" s="530"/>
      <c r="C94" s="288"/>
      <c r="D94" s="531"/>
      <c r="E94" s="71"/>
      <c r="F94" s="518"/>
      <c r="G94" s="76"/>
      <c r="H94" s="376"/>
      <c r="I94" s="377"/>
      <c r="J94" s="377"/>
      <c r="K94" s="377"/>
      <c r="L94" s="377"/>
      <c r="M94" s="378"/>
      <c r="N94" s="379"/>
      <c r="O94" s="377"/>
      <c r="P94" s="377"/>
      <c r="Q94" s="377"/>
      <c r="R94" s="377"/>
      <c r="S94" s="377"/>
      <c r="T94" s="377"/>
      <c r="U94" s="377"/>
      <c r="V94" s="377"/>
      <c r="W94" s="378"/>
      <c r="X94" s="423"/>
      <c r="Y94" s="377"/>
      <c r="Z94" s="378"/>
      <c r="AA94" s="340" t="str">
        <f t="shared" si="7"/>
        <v/>
      </c>
      <c r="AB94" s="461" t="str">
        <f t="shared" si="6"/>
        <v/>
      </c>
      <c r="AC94" s="460"/>
      <c r="AD94" s="380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</row>
    <row r="95" spans="1:45" ht="20" customHeight="1">
      <c r="A95" s="286"/>
      <c r="B95" s="530"/>
      <c r="C95" s="288"/>
      <c r="D95" s="531"/>
      <c r="E95" s="71"/>
      <c r="F95" s="518"/>
      <c r="G95" s="76"/>
      <c r="H95" s="376"/>
      <c r="I95" s="377"/>
      <c r="J95" s="377"/>
      <c r="K95" s="377"/>
      <c r="L95" s="377"/>
      <c r="M95" s="378"/>
      <c r="N95" s="379"/>
      <c r="O95" s="377"/>
      <c r="P95" s="377"/>
      <c r="Q95" s="377"/>
      <c r="R95" s="377"/>
      <c r="S95" s="377"/>
      <c r="T95" s="377"/>
      <c r="U95" s="377"/>
      <c r="V95" s="377"/>
      <c r="W95" s="378"/>
      <c r="X95" s="423"/>
      <c r="Y95" s="377"/>
      <c r="Z95" s="378"/>
      <c r="AA95" s="340" t="str">
        <f t="shared" si="7"/>
        <v/>
      </c>
      <c r="AB95" s="461" t="str">
        <f t="shared" si="6"/>
        <v/>
      </c>
      <c r="AC95" s="460"/>
      <c r="AD95" s="380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</row>
    <row r="96" spans="1:45" ht="20" customHeight="1">
      <c r="A96" s="286"/>
      <c r="B96" s="530"/>
      <c r="C96" s="288"/>
      <c r="D96" s="531"/>
      <c r="E96" s="71"/>
      <c r="F96" s="518"/>
      <c r="G96" s="76"/>
      <c r="H96" s="376"/>
      <c r="I96" s="377"/>
      <c r="J96" s="377"/>
      <c r="K96" s="377"/>
      <c r="L96" s="377"/>
      <c r="M96" s="378"/>
      <c r="N96" s="379"/>
      <c r="O96" s="377"/>
      <c r="P96" s="377"/>
      <c r="Q96" s="377"/>
      <c r="R96" s="377"/>
      <c r="S96" s="377"/>
      <c r="T96" s="377"/>
      <c r="U96" s="377"/>
      <c r="V96" s="377"/>
      <c r="W96" s="378"/>
      <c r="X96" s="423"/>
      <c r="Y96" s="377"/>
      <c r="Z96" s="378"/>
      <c r="AA96" s="340" t="str">
        <f t="shared" si="7"/>
        <v/>
      </c>
      <c r="AB96" s="461" t="str">
        <f t="shared" si="6"/>
        <v/>
      </c>
      <c r="AC96" s="460"/>
      <c r="AD96" s="380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</row>
    <row r="97" spans="1:45" ht="20" customHeight="1" thickBot="1">
      <c r="A97" s="293"/>
      <c r="B97" s="532"/>
      <c r="C97" s="294"/>
      <c r="D97" s="534"/>
      <c r="E97" s="381"/>
      <c r="F97" s="424"/>
      <c r="G97" s="80"/>
      <c r="H97" s="343"/>
      <c r="I97" s="80"/>
      <c r="J97" s="80"/>
      <c r="K97" s="80"/>
      <c r="L97" s="80"/>
      <c r="M97" s="309"/>
      <c r="N97" s="79"/>
      <c r="O97" s="80"/>
      <c r="P97" s="80"/>
      <c r="Q97" s="80"/>
      <c r="R97" s="80"/>
      <c r="S97" s="80"/>
      <c r="T97" s="80"/>
      <c r="U97" s="80"/>
      <c r="V97" s="80"/>
      <c r="W97" s="309"/>
      <c r="X97" s="424"/>
      <c r="Y97" s="80"/>
      <c r="Z97" s="81"/>
      <c r="AA97" s="340" t="str">
        <f>IF(B97="","",(COUNTA(F97:Z97)))</f>
        <v/>
      </c>
      <c r="AB97" s="461" t="str">
        <f>IF(B97="","",(AA97/COUNTA($F$6:$Z$6)))</f>
        <v/>
      </c>
      <c r="AC97" s="462"/>
      <c r="AD97" s="80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</row>
    <row r="98" spans="1:45" ht="20" customHeight="1" thickBot="1">
      <c r="A98" s="49"/>
      <c r="B98" s="50"/>
      <c r="C98" s="50"/>
      <c r="D98" s="50"/>
      <c r="E98" s="51"/>
      <c r="F98" s="457"/>
      <c r="G98" s="52"/>
      <c r="H98" s="53"/>
      <c r="I98" s="53"/>
      <c r="J98" s="53"/>
      <c r="K98" s="53"/>
      <c r="L98" s="55"/>
      <c r="M98" s="55"/>
      <c r="N98" s="55"/>
      <c r="O98" s="52"/>
      <c r="P98" s="52"/>
      <c r="Q98" s="53"/>
      <c r="R98" s="53"/>
      <c r="S98" s="53"/>
      <c r="T98" s="55"/>
      <c r="U98" s="55"/>
      <c r="V98" s="53"/>
      <c r="W98" s="52"/>
      <c r="X98" s="53"/>
      <c r="Y98" s="53"/>
      <c r="Z98" s="54"/>
      <c r="AA98" s="56"/>
      <c r="AB98" s="529"/>
      <c r="AC98" s="528"/>
      <c r="AD98" s="53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</row>
    <row r="99" spans="1:45">
      <c r="A99" s="157"/>
      <c r="B99" s="154"/>
      <c r="C99" s="157"/>
      <c r="D99" s="157"/>
      <c r="E99" s="154"/>
      <c r="F99" s="154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  <c r="AA99" s="176"/>
      <c r="AB99" s="176"/>
      <c r="AC99" s="176"/>
      <c r="AD99" s="176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</row>
    <row r="100" spans="1:45">
      <c r="A100" s="157"/>
      <c r="B100" s="157" t="s">
        <v>1200</v>
      </c>
      <c r="C100" s="154">
        <f>COUNTA(B8:B97)</f>
        <v>85</v>
      </c>
      <c r="D100" s="157"/>
      <c r="E100" s="154"/>
      <c r="F100" s="154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  <c r="AA100" s="176"/>
      <c r="AB100" s="176"/>
      <c r="AC100" s="176"/>
      <c r="AD100" s="176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</row>
    <row r="101" spans="1:45">
      <c r="A101" s="157"/>
      <c r="B101" s="157" t="s">
        <v>1201</v>
      </c>
      <c r="C101" s="342">
        <f>C100-(COUNTA(AC8:AC97))</f>
        <v>30</v>
      </c>
      <c r="D101" s="157"/>
      <c r="E101" s="154"/>
      <c r="F101" s="154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  <c r="AA101" s="176"/>
      <c r="AB101" s="176"/>
      <c r="AC101" s="176"/>
      <c r="AD101" s="176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</row>
    <row r="102" spans="1:45">
      <c r="A102" s="157"/>
      <c r="B102" s="338" t="s">
        <v>1202</v>
      </c>
      <c r="C102" s="339">
        <f>C100-C101</f>
        <v>55</v>
      </c>
      <c r="D102" s="157"/>
      <c r="E102" s="154"/>
      <c r="F102" s="154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  <c r="AA102" s="176"/>
      <c r="AB102" s="176"/>
      <c r="AC102" s="176"/>
      <c r="AD102" s="176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</row>
    <row r="103" spans="1:45">
      <c r="A103" s="157"/>
      <c r="B103" s="157"/>
      <c r="C103" s="157"/>
      <c r="D103" s="157"/>
      <c r="E103" s="154"/>
      <c r="F103" s="154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  <c r="AA103" s="176"/>
      <c r="AB103" s="176"/>
      <c r="AC103" s="176"/>
      <c r="AD103" s="176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</row>
    <row r="104" spans="1:45">
      <c r="A104" s="157"/>
      <c r="B104" s="154"/>
      <c r="C104" s="157"/>
      <c r="D104" s="157"/>
      <c r="E104" s="154"/>
      <c r="F104" s="154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  <c r="AA104" s="176"/>
      <c r="AB104" s="176"/>
      <c r="AC104" s="176"/>
      <c r="AD104" s="176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</row>
    <row r="105" spans="1:45">
      <c r="A105" s="157"/>
      <c r="B105" s="154"/>
      <c r="C105" s="157"/>
      <c r="D105" s="157"/>
      <c r="E105" s="154"/>
      <c r="F105" s="154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  <c r="AA105" s="176"/>
      <c r="AB105" s="176"/>
      <c r="AC105" s="176"/>
      <c r="AD105" s="176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</row>
    <row r="106" spans="1:45">
      <c r="A106" s="157"/>
      <c r="B106" s="154"/>
      <c r="C106" s="157"/>
      <c r="D106" s="157"/>
      <c r="E106" s="154"/>
      <c r="F106" s="154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  <c r="AA106" s="176"/>
      <c r="AB106" s="176"/>
      <c r="AC106" s="176"/>
      <c r="AD106" s="176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</row>
    <row r="107" spans="1:45">
      <c r="A107" s="157"/>
      <c r="B107" s="154"/>
      <c r="C107" s="157"/>
      <c r="D107" s="157"/>
      <c r="E107" s="154"/>
      <c r="F107" s="154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</row>
    <row r="108" spans="1:45">
      <c r="A108" s="157"/>
      <c r="B108" s="154"/>
      <c r="C108" s="157"/>
      <c r="D108" s="157"/>
      <c r="E108" s="154"/>
      <c r="F108" s="154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  <c r="AA108" s="176"/>
      <c r="AB108" s="176"/>
      <c r="AC108" s="176"/>
      <c r="AD108" s="176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</row>
    <row r="109" spans="1:45">
      <c r="A109" s="157"/>
      <c r="B109" s="154"/>
      <c r="C109" s="157"/>
      <c r="D109" s="157"/>
      <c r="E109" s="154"/>
      <c r="F109" s="154"/>
      <c r="G109" s="176"/>
      <c r="H109" s="176"/>
      <c r="I109" s="176">
        <v>23897690</v>
      </c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  <c r="AA109" s="176"/>
      <c r="AB109" s="176"/>
      <c r="AC109" s="176"/>
      <c r="AD109" s="176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</row>
    <row r="110" spans="1:45">
      <c r="A110" s="157"/>
      <c r="B110" s="154"/>
      <c r="C110" s="157"/>
      <c r="D110" s="157"/>
      <c r="E110" s="154"/>
      <c r="F110" s="154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  <c r="AA110" s="176"/>
      <c r="AB110" s="176"/>
      <c r="AC110" s="176"/>
      <c r="AD110" s="176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</row>
    <row r="111" spans="1:45">
      <c r="A111" s="157"/>
      <c r="B111" s="154"/>
      <c r="C111" s="157"/>
      <c r="D111" s="157"/>
      <c r="E111" s="154"/>
      <c r="F111" s="154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</row>
    <row r="112" spans="1:45">
      <c r="A112" s="157"/>
      <c r="B112" s="154"/>
      <c r="C112" s="157"/>
      <c r="D112" s="157"/>
      <c r="E112" s="154"/>
      <c r="F112" s="154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</row>
    <row r="113" spans="1:45">
      <c r="A113" s="157"/>
      <c r="B113" s="154"/>
      <c r="C113" s="157"/>
      <c r="D113" s="157"/>
      <c r="E113" s="154"/>
      <c r="F113" s="154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  <c r="AC113" s="176"/>
      <c r="AD113" s="176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</row>
    <row r="114" spans="1:45">
      <c r="A114" s="157"/>
      <c r="B114" s="154"/>
      <c r="C114" s="157"/>
      <c r="D114" s="157"/>
      <c r="E114" s="154"/>
      <c r="F114" s="154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  <c r="AA114" s="176"/>
      <c r="AB114" s="176"/>
      <c r="AC114" s="176"/>
      <c r="AD114" s="176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</row>
    <row r="115" spans="1:45">
      <c r="A115" s="157"/>
      <c r="B115" s="154"/>
      <c r="C115" s="157"/>
      <c r="D115" s="157"/>
      <c r="E115" s="154"/>
      <c r="F115" s="154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  <c r="AA115" s="176"/>
      <c r="AB115" s="176"/>
      <c r="AC115" s="176"/>
      <c r="AD115" s="176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</row>
    <row r="116" spans="1:45">
      <c r="A116" s="157"/>
      <c r="B116" s="154"/>
      <c r="C116" s="157"/>
      <c r="D116" s="157"/>
      <c r="E116" s="154"/>
      <c r="F116" s="154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  <c r="AA116" s="176"/>
      <c r="AB116" s="176"/>
      <c r="AC116" s="176"/>
      <c r="AD116" s="176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</row>
    <row r="117" spans="1:45">
      <c r="A117" s="157"/>
      <c r="B117" s="154"/>
      <c r="C117" s="157"/>
      <c r="D117" s="157"/>
      <c r="E117" s="154"/>
      <c r="F117" s="154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  <c r="AA117" s="176"/>
      <c r="AB117" s="176"/>
      <c r="AC117" s="176"/>
      <c r="AD117" s="176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</row>
    <row r="118" spans="1:45">
      <c r="A118" s="157"/>
      <c r="B118" s="154"/>
      <c r="C118" s="157"/>
      <c r="D118" s="157"/>
      <c r="E118" s="154"/>
      <c r="F118" s="154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  <c r="AA118" s="176"/>
      <c r="AB118" s="176"/>
      <c r="AC118" s="176"/>
      <c r="AD118" s="176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</row>
    <row r="119" spans="1:45">
      <c r="A119" s="157"/>
      <c r="B119" s="154"/>
      <c r="C119" s="157"/>
      <c r="D119" s="157"/>
      <c r="E119" s="154"/>
      <c r="F119" s="154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  <c r="AA119" s="176"/>
      <c r="AB119" s="176"/>
      <c r="AC119" s="176"/>
      <c r="AD119" s="176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</row>
    <row r="120" spans="1:45">
      <c r="A120" s="157"/>
      <c r="B120" s="154"/>
      <c r="C120" s="157"/>
      <c r="D120" s="157"/>
      <c r="E120" s="154"/>
      <c r="F120" s="154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  <c r="AA120" s="176"/>
      <c r="AB120" s="176"/>
      <c r="AC120" s="176"/>
      <c r="AD120" s="176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</row>
    <row r="121" spans="1:45">
      <c r="A121" s="157"/>
      <c r="B121" s="154"/>
      <c r="C121" s="157"/>
      <c r="D121" s="157"/>
      <c r="E121" s="154"/>
      <c r="F121" s="154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  <c r="AA121" s="176"/>
      <c r="AB121" s="176"/>
      <c r="AC121" s="176"/>
      <c r="AD121" s="176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</row>
    <row r="122" spans="1:45">
      <c r="A122" s="157"/>
      <c r="B122" s="154"/>
      <c r="C122" s="157"/>
      <c r="D122" s="157"/>
      <c r="E122" s="154"/>
      <c r="F122" s="154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  <c r="AA122" s="176"/>
      <c r="AB122" s="176"/>
      <c r="AC122" s="176"/>
      <c r="AD122" s="176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</row>
    <row r="123" spans="1:45">
      <c r="A123" s="157"/>
      <c r="B123" s="154"/>
      <c r="C123" s="157"/>
      <c r="D123" s="157"/>
      <c r="E123" s="154"/>
      <c r="F123" s="154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</row>
    <row r="124" spans="1:45">
      <c r="A124" s="157"/>
      <c r="B124" s="154"/>
      <c r="C124" s="157"/>
      <c r="D124" s="157"/>
      <c r="E124" s="154"/>
      <c r="F124" s="154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</row>
    <row r="125" spans="1:45">
      <c r="A125" s="157"/>
      <c r="B125" s="154"/>
      <c r="C125" s="157"/>
      <c r="D125" s="157"/>
      <c r="E125" s="154"/>
      <c r="F125" s="154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</row>
    <row r="126" spans="1:45">
      <c r="A126" s="157"/>
      <c r="B126" s="154"/>
      <c r="C126" s="157"/>
      <c r="D126" s="157"/>
      <c r="E126" s="154"/>
      <c r="F126" s="154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</row>
    <row r="127" spans="1:45">
      <c r="A127" s="157"/>
      <c r="B127" s="154"/>
      <c r="C127" s="157"/>
      <c r="D127" s="157"/>
      <c r="E127" s="154"/>
      <c r="F127" s="154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</row>
    <row r="128" spans="1:45">
      <c r="A128" s="157"/>
      <c r="B128" s="154"/>
      <c r="C128" s="157"/>
      <c r="D128" s="157"/>
      <c r="E128" s="154"/>
      <c r="F128" s="154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</row>
    <row r="129" spans="1:45">
      <c r="A129" s="157"/>
      <c r="B129" s="154"/>
      <c r="C129" s="157"/>
      <c r="D129" s="157"/>
      <c r="E129" s="154"/>
      <c r="F129" s="154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</row>
    <row r="130" spans="1:45">
      <c r="A130" s="157"/>
      <c r="B130" s="154"/>
      <c r="C130" s="157"/>
      <c r="D130" s="157"/>
      <c r="E130" s="154"/>
      <c r="F130" s="154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</row>
    <row r="131" spans="1:45">
      <c r="A131" s="157"/>
      <c r="B131" s="154"/>
      <c r="C131" s="157"/>
      <c r="D131" s="157"/>
      <c r="E131" s="154"/>
      <c r="F131" s="154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</row>
    <row r="132" spans="1:45">
      <c r="A132" s="157"/>
      <c r="B132" s="154"/>
      <c r="C132" s="157"/>
      <c r="D132" s="157"/>
      <c r="E132" s="154"/>
      <c r="F132" s="154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</row>
    <row r="133" spans="1:45">
      <c r="A133" s="157"/>
      <c r="B133" s="154"/>
      <c r="C133" s="157"/>
      <c r="D133" s="157"/>
      <c r="E133" s="154"/>
      <c r="F133" s="154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</row>
    <row r="134" spans="1:45">
      <c r="A134" s="157"/>
      <c r="B134" s="154"/>
      <c r="C134" s="157"/>
      <c r="D134" s="157"/>
      <c r="E134" s="154"/>
      <c r="F134" s="154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</row>
    <row r="135" spans="1:45">
      <c r="A135" s="157"/>
      <c r="B135" s="154"/>
      <c r="C135" s="157"/>
      <c r="D135" s="157"/>
      <c r="E135" s="154"/>
      <c r="F135" s="154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</row>
    <row r="136" spans="1:45">
      <c r="A136" s="157"/>
      <c r="B136" s="154"/>
      <c r="C136" s="157"/>
      <c r="D136" s="157"/>
      <c r="E136" s="154"/>
      <c r="F136" s="154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  <c r="AA136" s="176"/>
      <c r="AB136" s="176"/>
      <c r="AC136" s="176"/>
      <c r="AD136" s="176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</row>
    <row r="137" spans="1:45">
      <c r="A137" s="157"/>
      <c r="B137" s="154"/>
      <c r="C137" s="157"/>
      <c r="D137" s="157"/>
      <c r="E137" s="154"/>
      <c r="F137" s="154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  <c r="AA137" s="176"/>
      <c r="AB137" s="176"/>
      <c r="AC137" s="176"/>
      <c r="AD137" s="176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</row>
    <row r="138" spans="1:45">
      <c r="A138" s="157"/>
      <c r="B138" s="154"/>
      <c r="C138" s="157"/>
      <c r="D138" s="157"/>
      <c r="E138" s="154"/>
      <c r="F138" s="154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  <c r="AA138" s="176"/>
      <c r="AB138" s="176"/>
      <c r="AC138" s="176"/>
      <c r="AD138" s="176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</row>
    <row r="139" spans="1:45">
      <c r="A139" s="157"/>
      <c r="B139" s="154"/>
      <c r="C139" s="157"/>
      <c r="D139" s="157"/>
      <c r="E139" s="154"/>
      <c r="F139" s="154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  <c r="AA139" s="176"/>
      <c r="AB139" s="176"/>
      <c r="AC139" s="176"/>
      <c r="AD139" s="176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</row>
    <row r="140" spans="1:45">
      <c r="A140" s="157"/>
      <c r="B140" s="154"/>
      <c r="C140" s="157"/>
      <c r="D140" s="157"/>
      <c r="E140" s="154"/>
      <c r="F140" s="154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  <c r="AA140" s="176"/>
      <c r="AB140" s="176"/>
      <c r="AC140" s="176"/>
      <c r="AD140" s="176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</row>
    <row r="141" spans="1:45">
      <c r="A141" s="157"/>
      <c r="B141" s="154"/>
      <c r="C141" s="157"/>
      <c r="D141" s="157"/>
      <c r="E141" s="154"/>
      <c r="F141" s="154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  <c r="AA141" s="176"/>
      <c r="AB141" s="176"/>
      <c r="AC141" s="176"/>
      <c r="AD141" s="176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</row>
    <row r="142" spans="1:45">
      <c r="A142" s="157"/>
      <c r="B142" s="154"/>
      <c r="C142" s="157"/>
      <c r="D142" s="157"/>
      <c r="E142" s="154"/>
      <c r="F142" s="154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  <c r="AA142" s="176"/>
      <c r="AB142" s="176"/>
      <c r="AC142" s="176"/>
      <c r="AD142" s="176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</row>
    <row r="143" spans="1:45">
      <c r="A143" s="157"/>
      <c r="B143" s="154"/>
      <c r="C143" s="157"/>
      <c r="D143" s="157"/>
      <c r="E143" s="154"/>
      <c r="F143" s="154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  <c r="AA143" s="176"/>
      <c r="AB143" s="176"/>
      <c r="AC143" s="176"/>
      <c r="AD143" s="176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</row>
    <row r="144" spans="1:45">
      <c r="A144" s="157"/>
      <c r="B144" s="154"/>
      <c r="C144" s="157"/>
      <c r="D144" s="157"/>
      <c r="E144" s="154"/>
      <c r="F144" s="154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  <c r="AA144" s="176"/>
      <c r="AB144" s="176"/>
      <c r="AC144" s="176"/>
      <c r="AD144" s="176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</row>
    <row r="145" spans="1:45">
      <c r="A145" s="157"/>
      <c r="B145" s="154"/>
      <c r="C145" s="157"/>
      <c r="D145" s="157"/>
      <c r="E145" s="154"/>
      <c r="F145" s="154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  <c r="AA145" s="176"/>
      <c r="AB145" s="176"/>
      <c r="AC145" s="176"/>
      <c r="AD145" s="176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</row>
    <row r="146" spans="1:45">
      <c r="A146" s="157"/>
      <c r="B146" s="154"/>
      <c r="C146" s="157"/>
      <c r="D146" s="157"/>
      <c r="E146" s="154"/>
      <c r="F146" s="154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  <c r="AA146" s="176"/>
      <c r="AB146" s="176"/>
      <c r="AC146" s="176"/>
      <c r="AD146" s="176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</row>
    <row r="147" spans="1:45">
      <c r="A147" s="157"/>
      <c r="B147" s="154"/>
      <c r="C147" s="157"/>
      <c r="D147" s="157"/>
      <c r="E147" s="154"/>
      <c r="F147" s="154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  <c r="AA147" s="176"/>
      <c r="AB147" s="176"/>
      <c r="AC147" s="176"/>
      <c r="AD147" s="176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</row>
    <row r="148" spans="1:45">
      <c r="A148" s="157"/>
      <c r="B148" s="154"/>
      <c r="C148" s="157"/>
      <c r="D148" s="157"/>
      <c r="E148" s="154"/>
      <c r="F148" s="154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  <c r="AA148" s="176"/>
      <c r="AB148" s="176"/>
      <c r="AC148" s="176"/>
      <c r="AD148" s="176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</row>
    <row r="149" spans="1:45">
      <c r="A149" s="157"/>
      <c r="B149" s="154"/>
      <c r="C149" s="157"/>
      <c r="D149" s="157"/>
      <c r="E149" s="154"/>
      <c r="F149" s="154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  <c r="AA149" s="176"/>
      <c r="AB149" s="176"/>
      <c r="AC149" s="176"/>
      <c r="AD149" s="176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</row>
    <row r="150" spans="1:45">
      <c r="A150" s="157"/>
      <c r="B150" s="154"/>
      <c r="C150" s="157"/>
      <c r="D150" s="157"/>
      <c r="E150" s="154"/>
      <c r="F150" s="154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  <c r="AA150" s="176"/>
      <c r="AB150" s="176"/>
      <c r="AC150" s="176"/>
      <c r="AD150" s="176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</row>
    <row r="151" spans="1:45">
      <c r="A151" s="157"/>
      <c r="B151" s="154"/>
      <c r="C151" s="157"/>
      <c r="D151" s="157"/>
      <c r="E151" s="154"/>
      <c r="F151" s="154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  <c r="AA151" s="176"/>
      <c r="AB151" s="176"/>
      <c r="AC151" s="176"/>
      <c r="AD151" s="176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</row>
    <row r="152" spans="1:45">
      <c r="A152" s="157"/>
      <c r="B152" s="154"/>
      <c r="C152" s="157"/>
      <c r="D152" s="157"/>
      <c r="E152" s="154"/>
      <c r="F152" s="154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  <c r="AA152" s="176"/>
      <c r="AB152" s="176"/>
      <c r="AC152" s="176"/>
      <c r="AD152" s="176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</row>
    <row r="153" spans="1:45">
      <c r="A153" s="157"/>
      <c r="B153" s="154"/>
      <c r="C153" s="157"/>
      <c r="D153" s="157"/>
      <c r="E153" s="154"/>
      <c r="F153" s="154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  <c r="AA153" s="176"/>
      <c r="AB153" s="176"/>
      <c r="AC153" s="176"/>
      <c r="AD153" s="176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</row>
    <row r="154" spans="1:45">
      <c r="A154" s="157"/>
      <c r="B154" s="154"/>
      <c r="C154" s="157"/>
      <c r="D154" s="157"/>
      <c r="E154" s="154"/>
      <c r="F154" s="154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  <c r="AA154" s="176"/>
      <c r="AB154" s="176"/>
      <c r="AC154" s="176"/>
      <c r="AD154" s="176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</row>
    <row r="155" spans="1:45">
      <c r="A155" s="157"/>
      <c r="B155" s="154"/>
      <c r="C155" s="157"/>
      <c r="D155" s="157"/>
      <c r="E155" s="154"/>
      <c r="F155" s="154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  <c r="AA155" s="176"/>
      <c r="AB155" s="176"/>
      <c r="AC155" s="176"/>
      <c r="AD155" s="176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</row>
    <row r="156" spans="1:45">
      <c r="A156" s="157"/>
      <c r="B156" s="154"/>
      <c r="C156" s="157"/>
      <c r="D156" s="157"/>
      <c r="E156" s="154"/>
      <c r="F156" s="154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  <c r="AA156" s="176"/>
      <c r="AB156" s="176"/>
      <c r="AC156" s="176"/>
      <c r="AD156" s="176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</row>
    <row r="157" spans="1:45">
      <c r="A157" s="157"/>
      <c r="B157" s="154"/>
      <c r="C157" s="157"/>
      <c r="D157" s="157"/>
      <c r="E157" s="154"/>
      <c r="F157" s="154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  <c r="AA157" s="176"/>
      <c r="AB157" s="176"/>
      <c r="AC157" s="176"/>
      <c r="AD157" s="176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</row>
    <row r="158" spans="1:45">
      <c r="A158" s="157"/>
      <c r="B158" s="154"/>
      <c r="C158" s="157"/>
      <c r="D158" s="157"/>
      <c r="E158" s="154"/>
      <c r="F158" s="154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  <c r="AA158" s="176"/>
      <c r="AB158" s="176"/>
      <c r="AC158" s="176"/>
      <c r="AD158" s="176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</row>
    <row r="159" spans="1:45">
      <c r="A159" s="157"/>
      <c r="B159" s="154"/>
      <c r="C159" s="157"/>
      <c r="D159" s="157"/>
      <c r="E159" s="154"/>
      <c r="F159" s="154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  <c r="AA159" s="176"/>
      <c r="AB159" s="176"/>
      <c r="AC159" s="176"/>
      <c r="AD159" s="176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</row>
    <row r="160" spans="1:45">
      <c r="A160" s="157"/>
      <c r="B160" s="154"/>
      <c r="C160" s="157"/>
      <c r="D160" s="157"/>
      <c r="E160" s="154"/>
      <c r="F160" s="154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  <c r="AA160" s="176"/>
      <c r="AB160" s="176"/>
      <c r="AC160" s="176"/>
      <c r="AD160" s="176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</row>
    <row r="161" spans="1:45">
      <c r="A161" s="157"/>
      <c r="B161" s="154"/>
      <c r="C161" s="157"/>
      <c r="D161" s="157"/>
      <c r="E161" s="154"/>
      <c r="F161" s="154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  <c r="AA161" s="176"/>
      <c r="AB161" s="176"/>
      <c r="AC161" s="176"/>
      <c r="AD161" s="176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</row>
    <row r="162" spans="1:45">
      <c r="A162" s="157"/>
      <c r="B162" s="154"/>
      <c r="C162" s="157"/>
      <c r="D162" s="157"/>
      <c r="E162" s="154"/>
      <c r="F162" s="154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  <c r="AA162" s="176"/>
      <c r="AB162" s="176"/>
      <c r="AC162" s="176"/>
      <c r="AD162" s="176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</row>
    <row r="163" spans="1:45">
      <c r="A163" s="157"/>
      <c r="B163" s="154"/>
      <c r="C163" s="157"/>
      <c r="D163" s="157"/>
      <c r="E163" s="154"/>
      <c r="F163" s="154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  <c r="AA163" s="176"/>
      <c r="AB163" s="176"/>
      <c r="AC163" s="176"/>
      <c r="AD163" s="176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</row>
    <row r="164" spans="1:45">
      <c r="A164" s="157"/>
      <c r="B164" s="154"/>
      <c r="C164" s="157"/>
      <c r="D164" s="157"/>
      <c r="E164" s="154"/>
      <c r="F164" s="154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  <c r="AA164" s="176"/>
      <c r="AB164" s="176"/>
      <c r="AC164" s="176"/>
      <c r="AD164" s="176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</row>
    <row r="165" spans="1:45">
      <c r="A165" s="157"/>
      <c r="B165" s="154"/>
      <c r="C165" s="157"/>
      <c r="D165" s="157"/>
      <c r="E165" s="154"/>
      <c r="F165" s="154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  <c r="AA165" s="176"/>
      <c r="AB165" s="176"/>
      <c r="AC165" s="176"/>
      <c r="AD165" s="176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</row>
    <row r="166" spans="1:45">
      <c r="A166" s="157"/>
      <c r="B166" s="154"/>
      <c r="C166" s="157"/>
      <c r="D166" s="157"/>
      <c r="E166" s="154"/>
      <c r="F166" s="154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  <c r="AA166" s="176"/>
      <c r="AB166" s="176"/>
      <c r="AC166" s="176"/>
      <c r="AD166" s="176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</row>
    <row r="167" spans="1:45">
      <c r="A167" s="157"/>
      <c r="B167" s="154"/>
      <c r="C167" s="157"/>
      <c r="D167" s="157"/>
      <c r="E167" s="154"/>
      <c r="F167" s="154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  <c r="AA167" s="176"/>
      <c r="AB167" s="176"/>
      <c r="AC167" s="176"/>
      <c r="AD167" s="176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</row>
    <row r="168" spans="1:45">
      <c r="A168" s="157"/>
      <c r="B168" s="154"/>
      <c r="C168" s="157"/>
      <c r="D168" s="157"/>
      <c r="E168" s="154"/>
      <c r="F168" s="154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  <c r="AA168" s="176"/>
      <c r="AB168" s="176"/>
      <c r="AC168" s="176"/>
      <c r="AD168" s="176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</row>
    <row r="169" spans="1:45">
      <c r="A169" s="157"/>
      <c r="B169" s="154"/>
      <c r="C169" s="157"/>
      <c r="D169" s="157"/>
      <c r="E169" s="154"/>
      <c r="F169" s="154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  <c r="AA169" s="176"/>
      <c r="AB169" s="176"/>
      <c r="AC169" s="176"/>
      <c r="AD169" s="176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</row>
    <row r="170" spans="1:45">
      <c r="A170" s="157"/>
      <c r="B170" s="154"/>
      <c r="C170" s="157"/>
      <c r="D170" s="157"/>
      <c r="E170" s="154"/>
      <c r="F170" s="154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</row>
    <row r="171" spans="1:45">
      <c r="A171" s="157"/>
      <c r="B171" s="154"/>
      <c r="C171" s="157"/>
      <c r="D171" s="157"/>
      <c r="E171" s="154"/>
      <c r="F171" s="154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</row>
    <row r="172" spans="1:45">
      <c r="A172" s="157"/>
      <c r="B172" s="154"/>
      <c r="C172" s="157"/>
      <c r="D172" s="157"/>
      <c r="E172" s="154"/>
      <c r="F172" s="154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</row>
    <row r="173" spans="1:45">
      <c r="A173" s="157"/>
      <c r="B173" s="154"/>
      <c r="C173" s="157"/>
      <c r="D173" s="157"/>
      <c r="E173" s="154"/>
      <c r="F173" s="154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</row>
    <row r="174" spans="1:45">
      <c r="A174" s="157"/>
      <c r="B174" s="154"/>
      <c r="C174" s="157"/>
      <c r="D174" s="157"/>
      <c r="E174" s="154"/>
      <c r="F174" s="154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  <c r="AA174" s="176"/>
      <c r="AB174" s="176"/>
      <c r="AC174" s="176"/>
      <c r="AD174" s="176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</row>
    <row r="175" spans="1:45">
      <c r="A175" s="157"/>
      <c r="B175" s="154"/>
      <c r="C175" s="157"/>
      <c r="D175" s="157"/>
      <c r="E175" s="154"/>
      <c r="F175" s="154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  <c r="AA175" s="176"/>
      <c r="AB175" s="176"/>
      <c r="AC175" s="176"/>
      <c r="AD175" s="176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</row>
    <row r="176" spans="1:45">
      <c r="A176" s="157"/>
      <c r="B176" s="154"/>
      <c r="C176" s="157"/>
      <c r="D176" s="157"/>
      <c r="E176" s="154"/>
      <c r="F176" s="154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</row>
    <row r="177" spans="1:45">
      <c r="A177" s="157"/>
      <c r="B177" s="154"/>
      <c r="C177" s="157"/>
      <c r="D177" s="157"/>
      <c r="E177" s="154"/>
      <c r="F177" s="154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</row>
    <row r="178" spans="1:45">
      <c r="A178" s="157"/>
      <c r="B178" s="154"/>
      <c r="C178" s="157"/>
      <c r="D178" s="157"/>
      <c r="E178" s="154"/>
      <c r="F178" s="154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  <c r="AA178" s="176"/>
      <c r="AB178" s="176"/>
      <c r="AC178" s="176"/>
      <c r="AD178" s="176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</row>
    <row r="179" spans="1:45">
      <c r="A179" s="157"/>
      <c r="B179" s="154"/>
      <c r="C179" s="157"/>
      <c r="D179" s="157"/>
      <c r="E179" s="154"/>
      <c r="F179" s="154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  <c r="AA179" s="176"/>
      <c r="AB179" s="176"/>
      <c r="AC179" s="176"/>
      <c r="AD179" s="176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</row>
    <row r="180" spans="1:45">
      <c r="A180" s="157"/>
      <c r="B180" s="154"/>
      <c r="C180" s="157"/>
      <c r="D180" s="157"/>
      <c r="E180" s="154"/>
      <c r="F180" s="154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  <c r="AA180" s="176"/>
      <c r="AB180" s="176"/>
      <c r="AC180" s="176"/>
      <c r="AD180" s="176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</row>
  </sheetData>
  <autoFilter ref="A7:AD98" xr:uid="{66BD34D3-D11E-4002-B9DD-A726AD9E15E5}">
    <filterColumn colId="28">
      <filters blank="1"/>
    </filterColumn>
    <sortState xmlns:xlrd2="http://schemas.microsoft.com/office/spreadsheetml/2017/richdata2" ref="A22:AD98">
      <sortCondition ref="A7:A98"/>
    </sortState>
  </autoFilter>
  <conditionalFormatting sqref="E8:F65 E66 AC66 E67:F97">
    <cfRule type="notContainsBlanks" dxfId="23" priority="39">
      <formula>LEN(TRIM(E8))&gt;0</formula>
    </cfRule>
  </conditionalFormatting>
  <conditionalFormatting sqref="F66:Y66">
    <cfRule type="containsText" dxfId="22" priority="3" operator="containsText" text="Kingspan">
      <formula>NOT(ISERROR(SEARCH("Kingspan",F66)))</formula>
    </cfRule>
    <cfRule type="containsText" dxfId="21" priority="4" operator="containsText" text="Bauder">
      <formula>NOT(ISERROR(SEARCH("Bauder",F66)))</formula>
    </cfRule>
    <cfRule type="containsText" dxfId="20" priority="5" operator="containsText" text="IA">
      <formula>NOT(ISERROR(SEARCH("IA",F66)))</formula>
    </cfRule>
    <cfRule type="containsText" dxfId="19" priority="6" operator="containsText" text="1">
      <formula>NOT(ISERROR(SEARCH("1",F66)))</formula>
    </cfRule>
  </conditionalFormatting>
  <conditionalFormatting sqref="F8:Z65">
    <cfRule type="containsText" dxfId="18" priority="9" operator="containsText" text="Kingspan">
      <formula>NOT(ISERROR(SEARCH("Kingspan",F8)))</formula>
    </cfRule>
    <cfRule type="containsText" dxfId="17" priority="10" operator="containsText" text="Bauder">
      <formula>NOT(ISERROR(SEARCH("Bauder",F8)))</formula>
    </cfRule>
    <cfRule type="containsText" dxfId="16" priority="11" operator="containsText" text="IA">
      <formula>NOT(ISERROR(SEARCH("IA",F8)))</formula>
    </cfRule>
    <cfRule type="containsText" dxfId="15" priority="12" operator="containsText" text="1">
      <formula>NOT(ISERROR(SEARCH("1",F8)))</formula>
    </cfRule>
  </conditionalFormatting>
  <conditionalFormatting sqref="AB8:AC57 AB58:AB97 AC67:AC97">
    <cfRule type="cellIs" dxfId="14" priority="42" operator="equal">
      <formula>1</formula>
    </cfRule>
  </conditionalFormatting>
  <conditionalFormatting sqref="AC58:AC65">
    <cfRule type="cellIs" dxfId="13" priority="13" operator="equal">
      <formula>1</formula>
    </cfRule>
  </conditionalFormatting>
  <conditionalFormatting sqref="AC66 E67 F67:Z97">
    <cfRule type="containsText" dxfId="12" priority="27" operator="containsText" text="Kingspan">
      <formula>NOT(ISERROR(SEARCH("Kingspan",E66)))</formula>
    </cfRule>
    <cfRule type="containsText" dxfId="11" priority="28" operator="containsText" text="Bauder">
      <formula>NOT(ISERROR(SEARCH("Bauder",E66)))</formula>
    </cfRule>
    <cfRule type="containsText" dxfId="10" priority="29" operator="containsText" text="IA">
      <formula>NOT(ISERROR(SEARCH("IA",E66)))</formula>
    </cfRule>
    <cfRule type="containsText" dxfId="9" priority="30" operator="containsText" text="1">
      <formula>NOT(ISERROR(SEARCH("1",E66)))</formula>
    </cfRule>
  </conditionalFormatting>
  <conditionalFormatting sqref="AD8:AD97">
    <cfRule type="containsText" dxfId="8" priority="41" operator="containsText" text="1">
      <formula>NOT(ISERROR(SEARCH("1",AD8)))</formula>
    </cfRule>
  </conditionalFormatting>
  <pageMargins left="1.0236220472440944" right="0.23622047244094491" top="0.74803149606299213" bottom="0.74803149606299213" header="0.31496062992125984" footer="0.31496062992125984"/>
  <pageSetup paperSize="8" scale="48" fitToHeight="0" orientation="landscape" r:id="rId1"/>
  <headerFooter alignWithMargins="0"/>
  <ignoredErrors>
    <ignoredError sqref="AB8:AB13 AB77:AB97" unlocked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7051B-94EC-447F-A611-CAB8955BFEB1}">
  <sheetPr>
    <tabColor rgb="FF7030A0"/>
  </sheetPr>
  <dimension ref="A2:T46"/>
  <sheetViews>
    <sheetView workbookViewId="0">
      <selection activeCell="C5" sqref="C5"/>
    </sheetView>
  </sheetViews>
  <sheetFormatPr baseColWidth="10" defaultColWidth="11.5" defaultRowHeight="15"/>
  <cols>
    <col min="1" max="1" width="20.6640625" customWidth="1"/>
    <col min="11" max="11" width="12.83203125" bestFit="1" customWidth="1"/>
  </cols>
  <sheetData>
    <row r="2" spans="1:20">
      <c r="A2">
        <v>1.6</v>
      </c>
      <c r="B2">
        <v>20</v>
      </c>
      <c r="C2">
        <f>A2*B2</f>
        <v>32</v>
      </c>
    </row>
    <row r="3" spans="1:20">
      <c r="A3">
        <v>1.59</v>
      </c>
      <c r="B3">
        <v>19.899999999999999</v>
      </c>
      <c r="C3">
        <f>A3*B3</f>
        <v>31.640999999999998</v>
      </c>
    </row>
    <row r="5" spans="1:20">
      <c r="A5" t="s">
        <v>1203</v>
      </c>
      <c r="C5">
        <v>572</v>
      </c>
    </row>
    <row r="7" spans="1:20">
      <c r="A7" t="s">
        <v>1204</v>
      </c>
      <c r="C7" s="331">
        <f>C5/C3</f>
        <v>18.077810435826933</v>
      </c>
      <c r="T7">
        <v>106</v>
      </c>
    </row>
    <row r="8" spans="1:20">
      <c r="T8">
        <v>43</v>
      </c>
    </row>
    <row r="9" spans="1:20">
      <c r="T9">
        <v>53</v>
      </c>
    </row>
    <row r="10" spans="1:20">
      <c r="T10">
        <v>29</v>
      </c>
    </row>
    <row r="11" spans="1:20">
      <c r="T11">
        <v>35</v>
      </c>
    </row>
    <row r="12" spans="1:20">
      <c r="T12">
        <v>23</v>
      </c>
    </row>
    <row r="13" spans="1:20">
      <c r="T13">
        <v>30</v>
      </c>
    </row>
    <row r="14" spans="1:20">
      <c r="T14">
        <v>32</v>
      </c>
    </row>
    <row r="15" spans="1:20">
      <c r="A15" t="s">
        <v>1205</v>
      </c>
      <c r="B15" s="129">
        <v>1.2</v>
      </c>
      <c r="T15">
        <v>33</v>
      </c>
    </row>
    <row r="16" spans="1:20">
      <c r="B16" s="129">
        <v>2.4</v>
      </c>
      <c r="T16">
        <v>35</v>
      </c>
    </row>
    <row r="17" spans="1:20">
      <c r="B17" s="129">
        <f>B16*B15</f>
        <v>2.88</v>
      </c>
      <c r="T17">
        <v>5</v>
      </c>
    </row>
    <row r="18" spans="1:20">
      <c r="A18" t="s">
        <v>1205</v>
      </c>
      <c r="B18">
        <v>5</v>
      </c>
      <c r="C18" t="s">
        <v>1206</v>
      </c>
      <c r="T18">
        <v>11</v>
      </c>
    </row>
    <row r="19" spans="1:20">
      <c r="B19">
        <f>B18/B17</f>
        <v>1.7361111111111112</v>
      </c>
      <c r="C19" t="s">
        <v>1207</v>
      </c>
      <c r="E19" t="s">
        <v>1208</v>
      </c>
    </row>
    <row r="20" spans="1:20">
      <c r="D20" t="s">
        <v>1209</v>
      </c>
      <c r="E20" t="s">
        <v>1210</v>
      </c>
    </row>
    <row r="21" spans="1:20">
      <c r="A21" t="s">
        <v>1211</v>
      </c>
      <c r="B21" s="336">
        <f>1050+1200+1100</f>
        <v>3350</v>
      </c>
      <c r="T21">
        <f>SUM(T7:T20)</f>
        <v>435</v>
      </c>
    </row>
    <row r="22" spans="1:20">
      <c r="A22" t="s">
        <v>1212</v>
      </c>
      <c r="B22" s="297">
        <f>B21*B19</f>
        <v>5815.9722222222226</v>
      </c>
      <c r="E22">
        <v>6000</v>
      </c>
    </row>
    <row r="23" spans="1:20">
      <c r="T23">
        <v>303</v>
      </c>
    </row>
    <row r="24" spans="1:20">
      <c r="A24" t="s">
        <v>1213</v>
      </c>
      <c r="B24" s="298">
        <f>B22</f>
        <v>5815.9722222222226</v>
      </c>
      <c r="E24">
        <f>E22</f>
        <v>6000</v>
      </c>
    </row>
    <row r="26" spans="1:20">
      <c r="T26">
        <f>T21-T23</f>
        <v>132</v>
      </c>
    </row>
    <row r="29" spans="1:20">
      <c r="A29" t="s">
        <v>1214</v>
      </c>
      <c r="K29" t="s">
        <v>1215</v>
      </c>
    </row>
    <row r="30" spans="1:20">
      <c r="A30" t="s">
        <v>1216</v>
      </c>
      <c r="B30">
        <v>3.2</v>
      </c>
      <c r="K30" t="s">
        <v>1217</v>
      </c>
    </row>
    <row r="31" spans="1:20">
      <c r="A31" t="s">
        <v>1218</v>
      </c>
      <c r="B31" s="336">
        <f>52+48+22+22+20+2+22+12+22+18</f>
        <v>240</v>
      </c>
      <c r="K31">
        <v>1550</v>
      </c>
    </row>
    <row r="32" spans="1:20">
      <c r="A32" t="s">
        <v>1219</v>
      </c>
      <c r="B32" s="298">
        <f>B30*B31</f>
        <v>768</v>
      </c>
      <c r="E32">
        <v>1000</v>
      </c>
      <c r="K32" s="297">
        <v>1100000</v>
      </c>
    </row>
    <row r="34" spans="1:11">
      <c r="K34" s="298">
        <f>K32/K31</f>
        <v>709.67741935483866</v>
      </c>
    </row>
    <row r="35" spans="1:11">
      <c r="A35" t="s">
        <v>1214</v>
      </c>
    </row>
    <row r="36" spans="1:11">
      <c r="A36" t="s">
        <v>1216</v>
      </c>
      <c r="B36">
        <v>3.2</v>
      </c>
    </row>
    <row r="37" spans="1:11">
      <c r="A37" t="s">
        <v>1218</v>
      </c>
      <c r="B37" s="336">
        <f>32+44+44+44+60</f>
        <v>224</v>
      </c>
    </row>
    <row r="38" spans="1:11">
      <c r="A38" t="s">
        <v>1219</v>
      </c>
      <c r="B38" s="298">
        <f>B36*B37</f>
        <v>716.80000000000007</v>
      </c>
      <c r="E38">
        <v>1000</v>
      </c>
    </row>
    <row r="41" spans="1:11">
      <c r="A41" t="s">
        <v>1220</v>
      </c>
    </row>
    <row r="42" spans="1:11">
      <c r="A42" t="s">
        <v>1216</v>
      </c>
      <c r="B42">
        <v>5</v>
      </c>
    </row>
    <row r="43" spans="1:11">
      <c r="A43" t="s">
        <v>1218</v>
      </c>
      <c r="B43" s="336">
        <f>32+44+44+44+60</f>
        <v>224</v>
      </c>
    </row>
    <row r="44" spans="1:11">
      <c r="A44" t="s">
        <v>1219</v>
      </c>
      <c r="B44" s="298">
        <f>B42*B43</f>
        <v>1120</v>
      </c>
      <c r="E44">
        <v>1000</v>
      </c>
    </row>
    <row r="46" spans="1:11">
      <c r="A46" t="s">
        <v>1221</v>
      </c>
      <c r="B46" s="298">
        <f>B44</f>
        <v>1120</v>
      </c>
      <c r="E46">
        <f>E44</f>
        <v>1000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CA9D-BD14-4357-911E-00D980EDE035}">
  <sheetPr>
    <tabColor rgb="FF66FF33"/>
  </sheetPr>
  <dimension ref="A1:AU412"/>
  <sheetViews>
    <sheetView topLeftCell="A372" zoomScaleNormal="100" workbookViewId="0">
      <selection activeCell="C403" sqref="C403"/>
    </sheetView>
  </sheetViews>
  <sheetFormatPr baseColWidth="10" defaultColWidth="11.5" defaultRowHeight="15"/>
  <cols>
    <col min="1" max="1" width="11.5" bestFit="1" customWidth="1"/>
    <col min="2" max="2" width="28.83203125" bestFit="1" customWidth="1"/>
    <col min="9" max="9" width="2.83203125" style="433" customWidth="1"/>
    <col min="11" max="11" width="28.6640625" customWidth="1"/>
    <col min="14" max="14" width="13.5" bestFit="1" customWidth="1"/>
    <col min="15" max="15" width="15.33203125" bestFit="1" customWidth="1"/>
  </cols>
  <sheetData>
    <row r="1" spans="8:15">
      <c r="H1" s="603" t="s">
        <v>1222</v>
      </c>
      <c r="I1" s="603"/>
      <c r="J1" s="603"/>
    </row>
    <row r="4" spans="8:15">
      <c r="K4" t="s">
        <v>460</v>
      </c>
    </row>
    <row r="5" spans="8:15">
      <c r="L5" t="s">
        <v>20</v>
      </c>
      <c r="M5" t="s">
        <v>1223</v>
      </c>
      <c r="N5" t="s">
        <v>1224</v>
      </c>
    </row>
    <row r="6" spans="8:15">
      <c r="K6" t="s">
        <v>1225</v>
      </c>
      <c r="L6">
        <v>26</v>
      </c>
      <c r="M6" s="453">
        <v>0.72222222222222221</v>
      </c>
      <c r="N6" s="298">
        <v>2648.1739440000006</v>
      </c>
      <c r="O6" t="s">
        <v>1226</v>
      </c>
    </row>
    <row r="7" spans="8:15">
      <c r="K7" t="s">
        <v>1227</v>
      </c>
      <c r="L7">
        <v>5</v>
      </c>
      <c r="M7" s="453">
        <v>0.1388888888888889</v>
      </c>
      <c r="N7" s="298">
        <v>938.1183000000002</v>
      </c>
      <c r="O7" t="s">
        <v>1228</v>
      </c>
    </row>
    <row r="8" spans="8:15">
      <c r="K8" t="s">
        <v>1229</v>
      </c>
      <c r="L8">
        <v>5</v>
      </c>
      <c r="M8" s="453">
        <v>0.1388888888888889</v>
      </c>
      <c r="N8" s="298">
        <v>509.26422000000014</v>
      </c>
    </row>
    <row r="11" spans="8:15" s="433" customFormat="1"/>
    <row r="12" spans="8:15">
      <c r="H12" s="603" t="s">
        <v>47</v>
      </c>
      <c r="I12" s="603"/>
      <c r="J12" s="603"/>
    </row>
    <row r="15" spans="8:15">
      <c r="K15" s="441" t="s">
        <v>1230</v>
      </c>
      <c r="L15" s="441"/>
      <c r="M15" s="442"/>
      <c r="N15" s="442"/>
    </row>
    <row r="16" spans="8:15">
      <c r="K16" s="442"/>
      <c r="L16" s="442" t="s">
        <v>20</v>
      </c>
      <c r="M16" s="442" t="s">
        <v>1223</v>
      </c>
      <c r="N16" s="442" t="s">
        <v>1224</v>
      </c>
    </row>
    <row r="17" spans="1:32">
      <c r="K17" s="442" t="s">
        <v>1227</v>
      </c>
      <c r="L17" s="442">
        <v>188</v>
      </c>
      <c r="M17" s="466">
        <v>0.15052041633306645</v>
      </c>
      <c r="N17" s="445">
        <v>11631.545236188951</v>
      </c>
    </row>
    <row r="18" spans="1:32">
      <c r="K18" s="442" t="s">
        <v>1231</v>
      </c>
      <c r="L18" s="442">
        <v>250.5</v>
      </c>
      <c r="M18" s="466">
        <v>0.20056044835868694</v>
      </c>
      <c r="N18" s="445">
        <v>8303.2025620496388</v>
      </c>
    </row>
    <row r="19" spans="1:32">
      <c r="K19" s="442" t="s">
        <v>1232</v>
      </c>
      <c r="L19" s="442">
        <v>250.5</v>
      </c>
      <c r="M19" s="466">
        <v>0.20056044835868694</v>
      </c>
      <c r="N19" s="445">
        <v>8303.2025620496388</v>
      </c>
    </row>
    <row r="20" spans="1:32">
      <c r="K20" s="442" t="s">
        <v>1229</v>
      </c>
      <c r="L20" s="442">
        <v>252.5</v>
      </c>
      <c r="M20" s="466">
        <v>0.20216172938350679</v>
      </c>
      <c r="N20" s="445">
        <v>8369.4955964771816</v>
      </c>
    </row>
    <row r="21" spans="1:32">
      <c r="K21" s="442" t="s">
        <v>1233</v>
      </c>
      <c r="L21" s="442"/>
      <c r="M21" s="466">
        <v>0</v>
      </c>
      <c r="N21" s="445">
        <v>3000</v>
      </c>
    </row>
    <row r="22" spans="1:32">
      <c r="K22" s="442" t="s">
        <v>1234</v>
      </c>
      <c r="L22" s="442"/>
      <c r="M22" s="466">
        <v>0</v>
      </c>
      <c r="N22" s="445">
        <v>3000</v>
      </c>
    </row>
    <row r="24" spans="1:32">
      <c r="A24" s="433"/>
      <c r="B24" s="433"/>
      <c r="C24" s="433"/>
      <c r="D24" s="433"/>
      <c r="E24" s="433"/>
      <c r="F24" s="433"/>
      <c r="G24" s="433"/>
      <c r="H24" s="433"/>
      <c r="J24" s="433"/>
      <c r="K24" s="433"/>
      <c r="L24" s="433"/>
      <c r="M24" s="433"/>
      <c r="N24" s="433"/>
      <c r="O24" s="433"/>
      <c r="P24" s="433"/>
      <c r="Q24" s="433"/>
      <c r="R24" s="433"/>
      <c r="S24" s="433"/>
      <c r="T24" s="433"/>
      <c r="U24" s="433"/>
      <c r="V24" s="433"/>
      <c r="W24" s="433"/>
      <c r="X24" s="433"/>
      <c r="Y24" s="433"/>
      <c r="Z24" s="433"/>
      <c r="AA24" s="433"/>
      <c r="AB24" s="433"/>
      <c r="AC24" s="433"/>
      <c r="AD24" s="433"/>
      <c r="AE24" s="433"/>
      <c r="AF24" s="433"/>
    </row>
    <row r="25" spans="1:32">
      <c r="H25" s="606" t="s">
        <v>47</v>
      </c>
      <c r="I25" s="606"/>
      <c r="J25" s="606"/>
    </row>
    <row r="28" spans="1:32" ht="24.75" customHeight="1">
      <c r="K28" s="607" t="s">
        <v>1235</v>
      </c>
      <c r="L28" s="607"/>
      <c r="M28" s="607"/>
      <c r="N28" s="607"/>
    </row>
    <row r="29" spans="1:32">
      <c r="N29" s="442" t="s">
        <v>1224</v>
      </c>
    </row>
    <row r="30" spans="1:32" ht="16">
      <c r="K30" s="519" t="s">
        <v>1236</v>
      </c>
      <c r="N30">
        <v>5000</v>
      </c>
    </row>
    <row r="31" spans="1:32" ht="16">
      <c r="K31" s="516" t="s">
        <v>1237</v>
      </c>
      <c r="N31">
        <v>5000</v>
      </c>
    </row>
    <row r="32" spans="1:32" ht="16">
      <c r="J32" s="297"/>
      <c r="K32" s="515" t="s">
        <v>1238</v>
      </c>
      <c r="N32">
        <v>5000</v>
      </c>
    </row>
    <row r="34" spans="1:47">
      <c r="A34" s="433"/>
      <c r="B34" s="433"/>
      <c r="C34" s="433"/>
      <c r="D34" s="433"/>
      <c r="E34" s="433"/>
      <c r="F34" s="433"/>
      <c r="G34" s="433"/>
      <c r="H34" s="433"/>
      <c r="J34" s="433"/>
      <c r="K34" s="433"/>
      <c r="L34" s="433"/>
      <c r="M34" s="433"/>
      <c r="N34" s="433"/>
      <c r="O34" s="433"/>
      <c r="P34" s="433"/>
      <c r="Q34" s="433"/>
      <c r="R34" s="433"/>
      <c r="S34" s="433"/>
      <c r="T34" s="433"/>
      <c r="U34" s="433"/>
      <c r="V34" s="433"/>
      <c r="W34" s="433"/>
      <c r="X34" s="433"/>
      <c r="Y34" s="433"/>
      <c r="Z34" s="433"/>
      <c r="AA34" s="433"/>
      <c r="AB34" s="433"/>
      <c r="AC34" s="433"/>
      <c r="AD34" s="433"/>
      <c r="AE34" s="433"/>
      <c r="AF34" s="433"/>
      <c r="AG34" s="433"/>
      <c r="AH34" s="433"/>
      <c r="AI34" s="433"/>
      <c r="AJ34" s="433"/>
      <c r="AK34" s="433"/>
      <c r="AL34" s="433"/>
      <c r="AM34" s="433"/>
      <c r="AN34" s="433"/>
      <c r="AO34" s="433"/>
      <c r="AP34" s="433"/>
      <c r="AQ34" s="433"/>
      <c r="AR34" s="433"/>
      <c r="AS34" s="433"/>
      <c r="AT34" s="433"/>
      <c r="AU34" s="433"/>
    </row>
    <row r="35" spans="1:47">
      <c r="H35" s="603" t="s">
        <v>47</v>
      </c>
      <c r="I35" s="603"/>
      <c r="J35" s="603"/>
    </row>
    <row r="37" spans="1:47">
      <c r="A37" s="605" t="s">
        <v>347</v>
      </c>
      <c r="B37" s="605"/>
      <c r="K37" s="520"/>
      <c r="L37" s="520"/>
      <c r="M37" s="520"/>
      <c r="N37" s="520"/>
      <c r="O37" s="520"/>
      <c r="P37" s="520"/>
    </row>
    <row r="38" spans="1:47">
      <c r="K38" s="520"/>
      <c r="L38" s="520"/>
      <c r="M38" s="520"/>
      <c r="N38" s="520"/>
      <c r="O38" s="520"/>
      <c r="P38" s="520"/>
    </row>
    <row r="39" spans="1:47">
      <c r="K39" s="441" t="s">
        <v>347</v>
      </c>
      <c r="L39" s="441"/>
      <c r="M39" s="520"/>
      <c r="N39" s="520"/>
      <c r="O39" s="520" t="s">
        <v>1239</v>
      </c>
      <c r="P39" s="520" t="s">
        <v>1240</v>
      </c>
    </row>
    <row r="40" spans="1:47">
      <c r="K40" s="520"/>
      <c r="L40" s="520" t="s">
        <v>20</v>
      </c>
      <c r="M40" s="520" t="s">
        <v>1223</v>
      </c>
      <c r="N40" s="520" t="s">
        <v>1224</v>
      </c>
      <c r="O40" s="441"/>
      <c r="P40" s="441"/>
    </row>
    <row r="41" spans="1:47">
      <c r="K41" s="520" t="s">
        <v>1227</v>
      </c>
      <c r="L41" s="520">
        <v>0</v>
      </c>
      <c r="M41" s="521">
        <v>0</v>
      </c>
      <c r="N41" s="522">
        <v>5967</v>
      </c>
      <c r="O41" s="441" t="s">
        <v>1228</v>
      </c>
      <c r="P41" s="441"/>
    </row>
    <row r="42" spans="1:47">
      <c r="K42" s="520" t="s">
        <v>1241</v>
      </c>
      <c r="L42" s="520">
        <v>74.474999999999994</v>
      </c>
      <c r="M42" s="521">
        <v>0.1</v>
      </c>
      <c r="N42" s="522">
        <v>6328</v>
      </c>
      <c r="O42" s="441"/>
      <c r="P42" s="441">
        <v>85</v>
      </c>
    </row>
    <row r="43" spans="1:47">
      <c r="K43" s="520" t="s">
        <v>1242</v>
      </c>
      <c r="L43" s="520">
        <v>179.5</v>
      </c>
      <c r="M43" s="521">
        <v>0</v>
      </c>
      <c r="N43" s="520" t="s">
        <v>1243</v>
      </c>
      <c r="O43" s="441"/>
      <c r="P43" s="441"/>
    </row>
    <row r="44" spans="1:47">
      <c r="K44" s="520" t="s">
        <v>1238</v>
      </c>
      <c r="L44" s="520">
        <v>124.5</v>
      </c>
      <c r="M44" s="521">
        <v>0.17</v>
      </c>
      <c r="N44" s="522">
        <v>15579</v>
      </c>
      <c r="O44" s="441"/>
      <c r="P44" s="441"/>
    </row>
    <row r="45" spans="1:47">
      <c r="K45" s="520" t="s">
        <v>1237</v>
      </c>
      <c r="L45" s="520">
        <v>104</v>
      </c>
      <c r="M45" s="521">
        <v>0.14000000000000001</v>
      </c>
      <c r="N45" s="522">
        <v>17193</v>
      </c>
      <c r="O45" s="441" t="s">
        <v>1226</v>
      </c>
      <c r="P45" s="441"/>
    </row>
    <row r="46" spans="1:47">
      <c r="K46" s="520" t="s">
        <v>1236</v>
      </c>
      <c r="L46" s="520">
        <v>177</v>
      </c>
      <c r="M46" s="521">
        <v>0.24</v>
      </c>
      <c r="N46" s="522">
        <v>20039</v>
      </c>
      <c r="O46" s="441"/>
      <c r="P46" s="441"/>
    </row>
    <row r="47" spans="1:47">
      <c r="K47" s="520"/>
      <c r="L47" s="520"/>
      <c r="M47" s="521"/>
      <c r="N47" s="522"/>
      <c r="O47" s="441"/>
      <c r="P47" s="441"/>
    </row>
    <row r="48" spans="1:47">
      <c r="K48" s="520"/>
      <c r="L48" s="520"/>
      <c r="M48" s="520"/>
      <c r="N48" s="520"/>
      <c r="O48" s="441"/>
      <c r="P48" s="441"/>
    </row>
    <row r="50" spans="1:45">
      <c r="A50" s="433"/>
      <c r="B50" s="433"/>
      <c r="C50" s="433"/>
      <c r="D50" s="433"/>
      <c r="E50" s="433"/>
      <c r="F50" s="433"/>
      <c r="G50" s="433"/>
      <c r="H50" s="433"/>
      <c r="J50" s="433"/>
      <c r="K50" s="433"/>
      <c r="L50" s="433"/>
      <c r="M50" s="433"/>
      <c r="N50" s="433"/>
      <c r="O50" s="433"/>
      <c r="P50" s="433"/>
      <c r="Q50" s="433"/>
      <c r="R50" s="433"/>
      <c r="S50" s="433"/>
      <c r="T50" s="433"/>
      <c r="U50" s="433"/>
      <c r="V50" s="433"/>
      <c r="W50" s="433"/>
      <c r="X50" s="433"/>
      <c r="Y50" s="433"/>
      <c r="Z50" s="433"/>
      <c r="AA50" s="433"/>
      <c r="AB50" s="433"/>
      <c r="AC50" s="433"/>
      <c r="AD50" s="433"/>
      <c r="AE50" s="433"/>
      <c r="AF50" s="433"/>
    </row>
    <row r="51" spans="1:45">
      <c r="H51" s="603" t="s">
        <v>47</v>
      </c>
      <c r="I51" s="603"/>
      <c r="J51" s="603"/>
    </row>
    <row r="53" spans="1:45" ht="16">
      <c r="B53" s="517" t="s">
        <v>373</v>
      </c>
      <c r="K53" s="517" t="s">
        <v>373</v>
      </c>
    </row>
    <row r="55" spans="1:45" ht="30" customHeight="1">
      <c r="K55" s="609" t="s">
        <v>1244</v>
      </c>
      <c r="L55" s="609"/>
    </row>
    <row r="57" spans="1:45" ht="30" customHeight="1">
      <c r="K57" s="610" t="s">
        <v>1238</v>
      </c>
      <c r="L57" s="611"/>
      <c r="N57" s="452">
        <v>8000</v>
      </c>
    </row>
    <row r="58" spans="1:45" ht="30" customHeight="1">
      <c r="K58" s="612" t="s">
        <v>1237</v>
      </c>
      <c r="L58" s="612"/>
      <c r="N58" s="452">
        <v>8000</v>
      </c>
    </row>
    <row r="59" spans="1:45">
      <c r="A59" s="433"/>
      <c r="B59" s="433"/>
      <c r="C59" s="433"/>
      <c r="D59" s="433"/>
      <c r="E59" s="433"/>
      <c r="F59" s="433"/>
      <c r="G59" s="433"/>
      <c r="H59" s="433"/>
      <c r="J59" s="433"/>
      <c r="K59" s="433"/>
      <c r="L59" s="433"/>
      <c r="M59" s="433"/>
      <c r="N59" s="433"/>
      <c r="O59" s="433"/>
      <c r="P59" s="433"/>
      <c r="Q59" s="433"/>
      <c r="R59" s="433"/>
      <c r="S59" s="433"/>
      <c r="T59" s="433"/>
      <c r="U59" s="433"/>
      <c r="V59" s="433"/>
      <c r="W59" s="433"/>
      <c r="X59" s="433"/>
      <c r="Y59" s="433"/>
      <c r="Z59" s="433"/>
      <c r="AA59" s="433"/>
      <c r="AB59" s="433"/>
      <c r="AC59" s="433"/>
      <c r="AD59" s="433"/>
      <c r="AE59" s="433"/>
      <c r="AF59" s="433"/>
      <c r="AG59" s="433"/>
      <c r="AH59" s="433"/>
      <c r="AI59" s="433"/>
      <c r="AJ59" s="433"/>
      <c r="AK59" s="433"/>
      <c r="AL59" s="433"/>
      <c r="AM59" s="433"/>
      <c r="AN59" s="433"/>
      <c r="AO59" s="433"/>
      <c r="AP59" s="433"/>
      <c r="AQ59" s="433"/>
      <c r="AR59" s="433"/>
      <c r="AS59" s="433"/>
    </row>
    <row r="60" spans="1:45">
      <c r="H60" s="603" t="s">
        <v>47</v>
      </c>
      <c r="I60" s="603"/>
      <c r="J60" s="603"/>
    </row>
    <row r="63" spans="1:45">
      <c r="K63" t="s">
        <v>1245</v>
      </c>
      <c r="M63" t="s">
        <v>1224</v>
      </c>
    </row>
    <row r="64" spans="1:45">
      <c r="K64" t="s">
        <v>1246</v>
      </c>
      <c r="M64">
        <v>2000</v>
      </c>
    </row>
    <row r="68" spans="8:15" s="433" customFormat="1"/>
    <row r="69" spans="8:15">
      <c r="H69" s="603" t="s">
        <v>47</v>
      </c>
      <c r="I69" s="603"/>
      <c r="J69" s="603"/>
    </row>
    <row r="72" spans="8:15">
      <c r="K72" t="s">
        <v>1247</v>
      </c>
    </row>
    <row r="73" spans="8:15">
      <c r="L73" t="s">
        <v>20</v>
      </c>
      <c r="M73" t="s">
        <v>1223</v>
      </c>
      <c r="N73" t="s">
        <v>1224</v>
      </c>
    </row>
    <row r="74" spans="8:15">
      <c r="K74" t="s">
        <v>1227</v>
      </c>
      <c r="L74">
        <v>0</v>
      </c>
      <c r="M74" s="453">
        <v>0</v>
      </c>
      <c r="N74" s="298">
        <v>5613.2546205128183</v>
      </c>
      <c r="O74" t="s">
        <v>1228</v>
      </c>
    </row>
    <row r="75" spans="8:15">
      <c r="K75" t="s">
        <v>1237</v>
      </c>
      <c r="L75">
        <v>54.5</v>
      </c>
      <c r="M75" s="453">
        <v>0.33538461538461539</v>
      </c>
      <c r="N75" s="298">
        <v>18808.720866887568</v>
      </c>
      <c r="O75" t="s">
        <v>1226</v>
      </c>
    </row>
    <row r="76" spans="8:15">
      <c r="K76" t="s">
        <v>1238</v>
      </c>
      <c r="L76">
        <v>54</v>
      </c>
      <c r="M76" s="453">
        <v>0.3323076923076923</v>
      </c>
      <c r="N76" s="298">
        <v>15855.285358863899</v>
      </c>
    </row>
    <row r="77" spans="8:15">
      <c r="K77" t="s">
        <v>1236</v>
      </c>
      <c r="L77">
        <v>54</v>
      </c>
      <c r="M77" s="453">
        <v>0.3323076923076923</v>
      </c>
      <c r="N77" s="298">
        <v>15855.285358863899</v>
      </c>
    </row>
    <row r="78" spans="8:15">
      <c r="L78">
        <v>0</v>
      </c>
      <c r="M78" s="453">
        <v>1</v>
      </c>
      <c r="N78" s="298">
        <v>56132.546205128179</v>
      </c>
    </row>
    <row r="80" spans="8:15" s="433" customFormat="1"/>
    <row r="81" spans="8:15">
      <c r="H81" s="603" t="s">
        <v>1248</v>
      </c>
      <c r="I81" s="603"/>
      <c r="J81" s="603"/>
    </row>
    <row r="82" spans="8:15">
      <c r="K82" t="s">
        <v>417</v>
      </c>
    </row>
    <row r="83" spans="8:15">
      <c r="L83" t="s">
        <v>20</v>
      </c>
      <c r="M83" t="s">
        <v>1223</v>
      </c>
      <c r="N83" t="s">
        <v>1224</v>
      </c>
    </row>
    <row r="84" spans="8:15">
      <c r="K84" t="s">
        <v>1236</v>
      </c>
      <c r="M84" s="453"/>
      <c r="N84" s="298">
        <v>4000</v>
      </c>
      <c r="O84" t="s">
        <v>1249</v>
      </c>
    </row>
    <row r="86" spans="8:15" s="433" customFormat="1"/>
    <row r="87" spans="8:15">
      <c r="H87" s="603" t="s">
        <v>1248</v>
      </c>
      <c r="I87" s="603"/>
      <c r="J87" s="603"/>
    </row>
    <row r="89" spans="8:15">
      <c r="K89" t="s">
        <v>1250</v>
      </c>
    </row>
    <row r="95" spans="8:15" s="433" customFormat="1"/>
    <row r="96" spans="8:15">
      <c r="H96" s="603" t="s">
        <v>1248</v>
      </c>
      <c r="I96" s="603"/>
      <c r="J96" s="603"/>
    </row>
    <row r="98" spans="8:15">
      <c r="K98" t="s">
        <v>1251</v>
      </c>
    </row>
    <row r="99" spans="8:15">
      <c r="L99" t="s">
        <v>20</v>
      </c>
      <c r="M99" t="s">
        <v>1223</v>
      </c>
      <c r="N99" t="s">
        <v>1224</v>
      </c>
    </row>
    <row r="100" spans="8:15">
      <c r="K100" t="s">
        <v>1227</v>
      </c>
      <c r="L100">
        <v>37.5</v>
      </c>
      <c r="M100" s="453">
        <v>0.2533783783783784</v>
      </c>
      <c r="N100" s="298">
        <v>18240.826852425496</v>
      </c>
      <c r="O100" t="s">
        <v>1228</v>
      </c>
    </row>
    <row r="101" spans="8:15">
      <c r="K101" t="s">
        <v>1231</v>
      </c>
      <c r="L101">
        <v>36.5</v>
      </c>
      <c r="M101" s="453">
        <v>0.24662162162162163</v>
      </c>
      <c r="N101" s="298">
        <v>12342.145460395004</v>
      </c>
    </row>
    <row r="102" spans="8:15">
      <c r="K102" t="s">
        <v>1232</v>
      </c>
      <c r="L102">
        <v>37</v>
      </c>
      <c r="M102" s="453">
        <v>0.25</v>
      </c>
      <c r="N102" s="298">
        <v>12511.215946153839</v>
      </c>
    </row>
    <row r="103" spans="8:15">
      <c r="K103" t="s">
        <v>1229</v>
      </c>
      <c r="L103" s="484">
        <v>37</v>
      </c>
      <c r="M103" s="453">
        <v>0.25</v>
      </c>
      <c r="N103" s="298">
        <v>12511.215946153839</v>
      </c>
    </row>
    <row r="104" spans="8:15">
      <c r="L104">
        <v>148</v>
      </c>
      <c r="M104" s="453">
        <v>1</v>
      </c>
      <c r="N104" s="298">
        <v>55605.404205128179</v>
      </c>
    </row>
    <row r="106" spans="8:15" s="433" customFormat="1"/>
    <row r="107" spans="8:15">
      <c r="H107" s="603" t="s">
        <v>1248</v>
      </c>
      <c r="I107" s="603"/>
      <c r="J107" s="603"/>
    </row>
    <row r="109" spans="8:15">
      <c r="K109" t="s">
        <v>1252</v>
      </c>
    </row>
    <row r="110" spans="8:15">
      <c r="L110" t="s">
        <v>20</v>
      </c>
      <c r="M110" t="s">
        <v>1223</v>
      </c>
      <c r="N110" t="s">
        <v>1224</v>
      </c>
    </row>
    <row r="111" spans="8:15">
      <c r="K111" t="s">
        <v>1225</v>
      </c>
      <c r="L111">
        <v>122.5</v>
      </c>
      <c r="M111" s="453">
        <v>0.67679558011049723</v>
      </c>
      <c r="N111" s="298">
        <v>5580.5425910055237</v>
      </c>
      <c r="O111" t="s">
        <v>1226</v>
      </c>
    </row>
    <row r="112" spans="8:15">
      <c r="K112" t="s">
        <v>1253</v>
      </c>
      <c r="L112">
        <v>18</v>
      </c>
      <c r="M112" s="453">
        <v>9.9447513812154692E-2</v>
      </c>
      <c r="N112" s="298">
        <v>760.83139969060767</v>
      </c>
    </row>
    <row r="113" spans="8:15">
      <c r="K113" t="s">
        <v>1241</v>
      </c>
      <c r="L113">
        <v>9.5</v>
      </c>
      <c r="M113" s="453">
        <v>5.2486187845303865E-2</v>
      </c>
      <c r="N113" s="298">
        <v>401.54990539226515</v>
      </c>
    </row>
    <row r="114" spans="8:15">
      <c r="K114" t="s">
        <v>1254</v>
      </c>
      <c r="L114">
        <v>31</v>
      </c>
      <c r="M114" s="453">
        <v>0.17127071823204421</v>
      </c>
      <c r="N114" s="298">
        <v>1310.3207439116022</v>
      </c>
    </row>
    <row r="115" spans="8:15">
      <c r="K115" t="s">
        <v>1227</v>
      </c>
      <c r="M115" s="524"/>
      <c r="N115" s="523">
        <v>894.80495999999994</v>
      </c>
      <c r="O115" t="s">
        <v>1228</v>
      </c>
    </row>
    <row r="116" spans="8:15">
      <c r="M116" s="453">
        <v>1</v>
      </c>
      <c r="N116" s="298">
        <v>8948.0495999999985</v>
      </c>
    </row>
    <row r="118" spans="8:15" s="433" customFormat="1"/>
    <row r="119" spans="8:15">
      <c r="H119" s="603" t="s">
        <v>1248</v>
      </c>
      <c r="I119" s="603"/>
      <c r="J119" s="603"/>
    </row>
    <row r="121" spans="8:15">
      <c r="K121" t="s">
        <v>405</v>
      </c>
    </row>
    <row r="122" spans="8:15">
      <c r="L122" t="s">
        <v>20</v>
      </c>
      <c r="M122" t="s">
        <v>1223</v>
      </c>
      <c r="N122" t="s">
        <v>1224</v>
      </c>
    </row>
    <row r="123" spans="8:15">
      <c r="K123" t="s">
        <v>1253</v>
      </c>
      <c r="L123">
        <v>41</v>
      </c>
      <c r="M123" s="453">
        <v>0.15</v>
      </c>
      <c r="N123" s="298">
        <v>1787.1891719999992</v>
      </c>
    </row>
    <row r="124" spans="8:15">
      <c r="K124" t="s">
        <v>1227</v>
      </c>
      <c r="L124">
        <v>17.5</v>
      </c>
      <c r="M124" s="453">
        <v>0.09</v>
      </c>
      <c r="N124" s="298">
        <v>2465.8333254222212</v>
      </c>
      <c r="O124" t="s">
        <v>1228</v>
      </c>
    </row>
    <row r="125" spans="8:15">
      <c r="K125" t="s">
        <v>1231</v>
      </c>
      <c r="L125">
        <v>12.5</v>
      </c>
      <c r="M125" s="453">
        <v>9.1240875912408759E-2</v>
      </c>
      <c r="N125" s="298">
        <v>1087.0980364963498</v>
      </c>
    </row>
    <row r="126" spans="8:15">
      <c r="K126" t="s">
        <v>1241</v>
      </c>
      <c r="L126">
        <v>41</v>
      </c>
      <c r="M126" s="453">
        <v>0.15</v>
      </c>
      <c r="N126" s="298">
        <v>1787.1891719999992</v>
      </c>
    </row>
    <row r="127" spans="8:15">
      <c r="K127" t="s">
        <v>1232</v>
      </c>
      <c r="L127">
        <v>12.5</v>
      </c>
      <c r="M127" s="453">
        <v>9.1240875912408759E-2</v>
      </c>
      <c r="N127" s="298">
        <v>1087.0980364963498</v>
      </c>
    </row>
    <row r="128" spans="8:15">
      <c r="K128" t="s">
        <v>1229</v>
      </c>
      <c r="L128">
        <v>12.5</v>
      </c>
      <c r="M128" s="453">
        <v>9.1240875912408759E-2</v>
      </c>
      <c r="N128" s="298">
        <v>1087.0980364963498</v>
      </c>
    </row>
    <row r="129" spans="8:14">
      <c r="L129">
        <v>137</v>
      </c>
      <c r="M129" s="453"/>
      <c r="N129" s="298"/>
    </row>
    <row r="130" spans="8:14">
      <c r="M130" s="453"/>
      <c r="N130" s="298">
        <v>9301.5057789112689</v>
      </c>
    </row>
    <row r="132" spans="8:14" s="433" customFormat="1"/>
    <row r="133" spans="8:14">
      <c r="H133" s="603" t="s">
        <v>1255</v>
      </c>
      <c r="I133" s="603"/>
      <c r="J133" s="603"/>
    </row>
    <row r="134" spans="8:14">
      <c r="K134" t="s">
        <v>1256</v>
      </c>
      <c r="N134" t="s">
        <v>1224</v>
      </c>
    </row>
    <row r="135" spans="8:14">
      <c r="K135" t="s">
        <v>1253</v>
      </c>
      <c r="N135">
        <v>2350</v>
      </c>
    </row>
    <row r="136" spans="8:14">
      <c r="K136" t="s">
        <v>1241</v>
      </c>
      <c r="N136">
        <v>2375</v>
      </c>
    </row>
    <row r="137" spans="8:14">
      <c r="K137" t="s">
        <v>1225</v>
      </c>
      <c r="N137">
        <v>400</v>
      </c>
    </row>
    <row r="140" spans="8:14" s="525" customFormat="1"/>
    <row r="141" spans="8:14">
      <c r="H141" s="603" t="s">
        <v>1255</v>
      </c>
      <c r="I141" s="603"/>
      <c r="J141" s="603"/>
    </row>
    <row r="143" spans="8:14">
      <c r="K143" t="s">
        <v>473</v>
      </c>
    </row>
    <row r="144" spans="8:14">
      <c r="L144" t="s">
        <v>20</v>
      </c>
      <c r="M144" t="s">
        <v>1223</v>
      </c>
      <c r="N144" t="s">
        <v>1224</v>
      </c>
    </row>
    <row r="145" spans="3:17">
      <c r="K145" t="s">
        <v>1227</v>
      </c>
      <c r="L145" s="526">
        <v>189</v>
      </c>
      <c r="M145" s="453">
        <v>0.15174628663187475</v>
      </c>
      <c r="N145" s="298">
        <v>9896.4989513569726</v>
      </c>
      <c r="O145" t="s">
        <v>1228</v>
      </c>
    </row>
    <row r="146" spans="3:17">
      <c r="K146" t="s">
        <v>1231</v>
      </c>
      <c r="L146" s="526">
        <v>188.5</v>
      </c>
      <c r="M146" s="453">
        <v>0.15134484142914492</v>
      </c>
      <c r="N146" s="298">
        <v>6237.1790161130502</v>
      </c>
    </row>
    <row r="147" spans="3:17">
      <c r="K147" t="s">
        <v>1232</v>
      </c>
      <c r="L147" s="526">
        <v>188</v>
      </c>
      <c r="M147" s="453">
        <v>0.15094339622641509</v>
      </c>
      <c r="N147" s="298">
        <v>6224.0054643461717</v>
      </c>
    </row>
    <row r="148" spans="3:17">
      <c r="K148" t="s">
        <v>1229</v>
      </c>
      <c r="L148" s="526">
        <v>135.5</v>
      </c>
      <c r="M148" s="453">
        <v>0.10879164993978321</v>
      </c>
      <c r="N148" s="298">
        <v>4840.7825288239692</v>
      </c>
    </row>
    <row r="149" spans="3:17">
      <c r="K149" t="s">
        <v>1233</v>
      </c>
      <c r="L149">
        <v>174.5</v>
      </c>
      <c r="M149" s="453">
        <v>0.14010437575270976</v>
      </c>
      <c r="N149" s="298">
        <v>3000</v>
      </c>
    </row>
    <row r="150" spans="3:17">
      <c r="K150" t="s">
        <v>1234</v>
      </c>
      <c r="L150">
        <v>174.5</v>
      </c>
      <c r="M150" s="453">
        <v>0.14010437575270976</v>
      </c>
      <c r="N150" s="298">
        <v>3000</v>
      </c>
    </row>
    <row r="151" spans="3:17">
      <c r="K151" t="s">
        <v>1253</v>
      </c>
      <c r="L151">
        <v>10</v>
      </c>
      <c r="M151" s="453">
        <v>8.0289040545965477E-3</v>
      </c>
      <c r="N151" s="298">
        <v>263.47103533756234</v>
      </c>
    </row>
    <row r="152" spans="3:17">
      <c r="K152" t="s">
        <v>1241</v>
      </c>
      <c r="L152">
        <v>10</v>
      </c>
      <c r="M152" s="453">
        <v>8.0289040545965477E-3</v>
      </c>
      <c r="N152" s="298">
        <v>263.47103533756234</v>
      </c>
    </row>
    <row r="153" spans="3:17">
      <c r="M153" s="453"/>
      <c r="N153" s="298"/>
    </row>
    <row r="154" spans="3:17">
      <c r="K154" t="s">
        <v>1257</v>
      </c>
      <c r="L154">
        <v>174.5</v>
      </c>
      <c r="M154" s="453">
        <v>0.14010437575270976</v>
      </c>
      <c r="N154" s="298">
        <v>3000</v>
      </c>
      <c r="P154">
        <v>1.2430000000000001</v>
      </c>
      <c r="Q154" s="298">
        <f>N154*P154</f>
        <v>3729.0000000000005</v>
      </c>
    </row>
    <row r="155" spans="3:17">
      <c r="M155" s="453">
        <v>0.99919710959454022</v>
      </c>
      <c r="N155" s="298">
        <v>36725.408031315288</v>
      </c>
    </row>
    <row r="157" spans="3:17" s="433" customFormat="1"/>
    <row r="158" spans="3:17">
      <c r="H158" s="603" t="s">
        <v>1255</v>
      </c>
      <c r="I158" s="603"/>
      <c r="J158" s="603"/>
    </row>
    <row r="159" spans="3:17">
      <c r="C159" t="s">
        <v>1258</v>
      </c>
    </row>
    <row r="160" spans="3:17">
      <c r="L160" t="s">
        <v>1259</v>
      </c>
    </row>
    <row r="161" spans="8:16">
      <c r="K161" t="s">
        <v>1230</v>
      </c>
    </row>
    <row r="162" spans="8:16">
      <c r="L162" t="s">
        <v>20</v>
      </c>
      <c r="M162" t="s">
        <v>1223</v>
      </c>
      <c r="N162" t="s">
        <v>1224</v>
      </c>
    </row>
    <row r="163" spans="8:16">
      <c r="K163" t="s">
        <v>1227</v>
      </c>
      <c r="L163">
        <v>48</v>
      </c>
      <c r="M163" s="453">
        <v>0.19393939393939394</v>
      </c>
      <c r="N163" s="298">
        <v>6331.4347639436564</v>
      </c>
      <c r="O163" t="s">
        <v>1228</v>
      </c>
      <c r="P163" s="298">
        <v>131.90489091549284</v>
      </c>
    </row>
    <row r="164" spans="8:16">
      <c r="K164" t="s">
        <v>1231</v>
      </c>
      <c r="L164">
        <v>36</v>
      </c>
      <c r="M164" s="453">
        <v>0.14545454545454545</v>
      </c>
      <c r="N164" s="298">
        <v>3018.9622715492933</v>
      </c>
      <c r="P164" s="298">
        <v>83.860063098591482</v>
      </c>
    </row>
    <row r="165" spans="8:16">
      <c r="K165" t="s">
        <v>1232</v>
      </c>
      <c r="L165">
        <v>56.5</v>
      </c>
      <c r="M165" s="453">
        <v>0.22828282828282828</v>
      </c>
      <c r="N165" s="298">
        <v>4738.0935650704187</v>
      </c>
      <c r="P165" s="298">
        <v>83.860063098591482</v>
      </c>
    </row>
    <row r="166" spans="8:16">
      <c r="K166" t="s">
        <v>1233</v>
      </c>
      <c r="L166">
        <v>21</v>
      </c>
      <c r="M166" s="453">
        <v>8.4848484848484854E-2</v>
      </c>
      <c r="N166" s="298">
        <v>1761.0613250704212</v>
      </c>
      <c r="P166" s="298">
        <v>83.860063098591482</v>
      </c>
    </row>
    <row r="167" spans="8:16">
      <c r="K167" t="s">
        <v>1234</v>
      </c>
      <c r="L167">
        <v>21</v>
      </c>
      <c r="M167" s="453">
        <v>8.4848484848484854E-2</v>
      </c>
      <c r="N167" s="298">
        <v>1761.0613250704212</v>
      </c>
      <c r="P167" s="298">
        <v>83.860063098591482</v>
      </c>
    </row>
    <row r="168" spans="8:16">
      <c r="K168" t="s">
        <v>1260</v>
      </c>
      <c r="L168">
        <v>7</v>
      </c>
      <c r="M168" s="453">
        <v>2.8282828282828285E-2</v>
      </c>
      <c r="N168" s="298">
        <v>587.02044169014039</v>
      </c>
      <c r="P168" s="298">
        <v>83.860063098591482</v>
      </c>
    </row>
    <row r="169" spans="8:16">
      <c r="K169" t="s">
        <v>1261</v>
      </c>
      <c r="L169">
        <v>22</v>
      </c>
      <c r="M169" s="453">
        <v>8.8888888888888892E-2</v>
      </c>
      <c r="N169" s="298">
        <v>1844.9213881690127</v>
      </c>
      <c r="P169" s="298">
        <v>83.860063098591482</v>
      </c>
    </row>
    <row r="170" spans="8:16">
      <c r="M170" s="453"/>
      <c r="N170" s="298"/>
      <c r="P170" s="298"/>
    </row>
    <row r="171" spans="8:16">
      <c r="K171" t="s">
        <v>1262</v>
      </c>
      <c r="L171">
        <v>36</v>
      </c>
      <c r="M171" s="453">
        <v>0.14545454545454545</v>
      </c>
      <c r="N171" s="298">
        <v>3018.9622715492933</v>
      </c>
      <c r="P171" s="298">
        <v>83.860063098591482</v>
      </c>
    </row>
    <row r="173" spans="8:16">
      <c r="L173">
        <v>247.5</v>
      </c>
      <c r="M173" s="453">
        <v>1</v>
      </c>
      <c r="N173" s="298">
        <v>23061.517352112656</v>
      </c>
    </row>
    <row r="175" spans="8:16" s="433" customFormat="1"/>
    <row r="176" spans="8:16">
      <c r="H176" s="603" t="s">
        <v>1255</v>
      </c>
      <c r="I176" s="603"/>
      <c r="J176" s="603"/>
    </row>
    <row r="178" spans="11:15">
      <c r="K178" t="s">
        <v>1263</v>
      </c>
    </row>
    <row r="179" spans="11:15">
      <c r="L179" t="s">
        <v>20</v>
      </c>
      <c r="M179" t="s">
        <v>1223</v>
      </c>
      <c r="N179" t="s">
        <v>1224</v>
      </c>
    </row>
    <row r="180" spans="11:15">
      <c r="K180" t="s">
        <v>1264</v>
      </c>
      <c r="L180">
        <v>119</v>
      </c>
      <c r="M180" s="453">
        <v>0.24688796680497926</v>
      </c>
      <c r="N180" s="298">
        <v>6402.2302904564322</v>
      </c>
      <c r="O180" t="s">
        <v>1226</v>
      </c>
    </row>
    <row r="181" spans="11:15">
      <c r="K181" t="s">
        <v>1265</v>
      </c>
      <c r="L181">
        <v>81.5</v>
      </c>
      <c r="M181" s="453">
        <v>0.16908713692946059</v>
      </c>
      <c r="N181" s="298">
        <v>3614.2375518672202</v>
      </c>
    </row>
    <row r="182" spans="11:15">
      <c r="K182" t="s">
        <v>1227</v>
      </c>
      <c r="L182">
        <v>0</v>
      </c>
      <c r="M182" s="453">
        <v>0</v>
      </c>
      <c r="N182" s="298">
        <v>2500</v>
      </c>
      <c r="O182" t="s">
        <v>1228</v>
      </c>
    </row>
    <row r="183" spans="11:15">
      <c r="K183" t="s">
        <v>1266</v>
      </c>
      <c r="L183">
        <v>139.5</v>
      </c>
      <c r="M183" s="453">
        <v>0.28941908713692949</v>
      </c>
      <c r="N183" s="298">
        <v>6186.3329875518675</v>
      </c>
    </row>
    <row r="184" spans="11:15">
      <c r="K184" t="s">
        <v>1254</v>
      </c>
      <c r="L184">
        <v>142</v>
      </c>
      <c r="M184" s="453">
        <v>0.29460580912863071</v>
      </c>
      <c r="N184" s="298">
        <v>6297.1991701244815</v>
      </c>
    </row>
    <row r="185" spans="11:15">
      <c r="L185">
        <v>0</v>
      </c>
      <c r="M185" s="453">
        <v>0</v>
      </c>
      <c r="N185" s="298">
        <v>0</v>
      </c>
    </row>
    <row r="186" spans="11:15">
      <c r="M186" s="453"/>
      <c r="N186" s="298"/>
    </row>
    <row r="187" spans="11:15">
      <c r="M187" s="453"/>
      <c r="N187" s="298"/>
    </row>
    <row r="188" spans="11:15">
      <c r="M188" s="453"/>
      <c r="N188" s="298"/>
    </row>
    <row r="189" spans="11:15">
      <c r="M189" s="453"/>
      <c r="N189" s="298"/>
    </row>
    <row r="190" spans="11:15">
      <c r="M190" s="453"/>
      <c r="N190" s="298"/>
    </row>
    <row r="191" spans="11:15">
      <c r="L191">
        <v>482</v>
      </c>
      <c r="N191" s="298"/>
    </row>
    <row r="192" spans="11:15">
      <c r="N192" s="298">
        <v>25000</v>
      </c>
    </row>
    <row r="193" spans="8:15" s="433" customFormat="1"/>
    <row r="194" spans="8:15">
      <c r="H194" s="603" t="s">
        <v>1011</v>
      </c>
      <c r="I194" s="603"/>
      <c r="J194" s="603"/>
    </row>
    <row r="196" spans="8:15">
      <c r="K196" t="s">
        <v>473</v>
      </c>
    </row>
    <row r="197" spans="8:15">
      <c r="L197" t="s">
        <v>20</v>
      </c>
      <c r="M197" t="s">
        <v>1223</v>
      </c>
      <c r="N197" t="s">
        <v>1224</v>
      </c>
    </row>
    <row r="198" spans="8:15">
      <c r="K198" t="s">
        <v>1227</v>
      </c>
      <c r="L198" s="526">
        <v>97</v>
      </c>
      <c r="M198" s="453">
        <v>0.1651063829787234</v>
      </c>
      <c r="N198" s="298">
        <v>19416.860237032517</v>
      </c>
      <c r="O198" t="s">
        <v>1228</v>
      </c>
    </row>
    <row r="199" spans="8:15">
      <c r="K199" t="s">
        <v>1231</v>
      </c>
      <c r="L199" s="526">
        <v>86</v>
      </c>
      <c r="M199" s="453">
        <v>0.14638297872340425</v>
      </c>
      <c r="N199" s="298">
        <v>12375.505527876183</v>
      </c>
    </row>
    <row r="200" spans="8:15">
      <c r="K200" t="s">
        <v>1232</v>
      </c>
      <c r="L200" s="526">
        <v>76.5</v>
      </c>
      <c r="M200" s="453">
        <v>0.1302127659574468</v>
      </c>
      <c r="N200" s="298">
        <v>11008.443870727071</v>
      </c>
    </row>
    <row r="201" spans="8:15">
      <c r="K201" t="s">
        <v>1229</v>
      </c>
      <c r="L201" s="526">
        <v>83.5</v>
      </c>
      <c r="M201" s="453">
        <v>0.14212765957446807</v>
      </c>
      <c r="N201" s="298">
        <v>12015.752460205364</v>
      </c>
    </row>
    <row r="202" spans="8:15">
      <c r="K202" t="s">
        <v>1233</v>
      </c>
      <c r="L202">
        <v>64</v>
      </c>
      <c r="M202" s="453">
        <v>0.10893617021276596</v>
      </c>
      <c r="N202" s="298">
        <v>7709.6785323729746</v>
      </c>
    </row>
    <row r="203" spans="8:15">
      <c r="K203" t="s">
        <v>1234</v>
      </c>
      <c r="L203">
        <v>64</v>
      </c>
      <c r="M203" s="453">
        <v>0.10893617021276596</v>
      </c>
      <c r="N203" s="298">
        <v>7709.6785323729746</v>
      </c>
    </row>
    <row r="204" spans="8:15">
      <c r="K204" t="s">
        <v>1260</v>
      </c>
      <c r="L204">
        <v>20</v>
      </c>
      <c r="M204" s="453">
        <v>3.4042553191489362E-2</v>
      </c>
      <c r="N204" s="298">
        <v>3878.0245413665543</v>
      </c>
    </row>
    <row r="205" spans="8:15">
      <c r="M205" s="453"/>
      <c r="N205" s="298"/>
    </row>
    <row r="206" spans="8:15">
      <c r="M206" s="453"/>
      <c r="N206" s="298"/>
    </row>
    <row r="207" spans="8:15">
      <c r="K207" t="s">
        <v>1257</v>
      </c>
      <c r="L207">
        <v>49.5</v>
      </c>
      <c r="M207" s="453">
        <v>8.4255319148936164E-2</v>
      </c>
      <c r="N207" s="298">
        <v>4139.1243569034987</v>
      </c>
    </row>
    <row r="208" spans="8:15">
      <c r="M208" s="453">
        <v>0.91999999999999993</v>
      </c>
      <c r="N208" s="298">
        <v>78253.068058857127</v>
      </c>
    </row>
    <row r="211" spans="8:16" s="433" customFormat="1"/>
    <row r="212" spans="8:16">
      <c r="H212" s="603" t="s">
        <v>1011</v>
      </c>
      <c r="I212" s="603"/>
      <c r="J212" s="603"/>
    </row>
    <row r="213" spans="8:16">
      <c r="K213" t="s">
        <v>230</v>
      </c>
    </row>
    <row r="214" spans="8:16">
      <c r="L214" t="s">
        <v>20</v>
      </c>
      <c r="M214" t="s">
        <v>1223</v>
      </c>
      <c r="N214" t="s">
        <v>1224</v>
      </c>
    </row>
    <row r="215" spans="8:16">
      <c r="K215" t="s">
        <v>1227</v>
      </c>
      <c r="L215">
        <v>78.5</v>
      </c>
      <c r="M215" s="453">
        <v>0.23573573573573572</v>
      </c>
      <c r="N215" s="298">
        <v>19600.615793153149</v>
      </c>
      <c r="O215" t="s">
        <v>1228</v>
      </c>
      <c r="P215" s="298"/>
    </row>
    <row r="216" spans="8:16">
      <c r="K216" t="s">
        <v>1231</v>
      </c>
      <c r="L216">
        <v>85.5</v>
      </c>
      <c r="M216" s="453">
        <v>0.25675675675675674</v>
      </c>
      <c r="N216" s="298">
        <v>16236.81948324324</v>
      </c>
      <c r="P216" s="298"/>
    </row>
    <row r="217" spans="8:16">
      <c r="K217" t="s">
        <v>1232</v>
      </c>
      <c r="L217">
        <v>85.5</v>
      </c>
      <c r="M217" s="453">
        <v>0.25675675675675674</v>
      </c>
      <c r="N217" s="298">
        <v>16236.81948324324</v>
      </c>
      <c r="P217" s="298"/>
    </row>
    <row r="218" spans="8:16">
      <c r="K218" t="s">
        <v>1229</v>
      </c>
      <c r="L218">
        <v>85.5</v>
      </c>
      <c r="M218" s="453">
        <v>0.25675675675675674</v>
      </c>
      <c r="N218" s="298">
        <v>16236.81948324324</v>
      </c>
      <c r="P218" s="298"/>
    </row>
    <row r="219" spans="8:16">
      <c r="L219">
        <v>335</v>
      </c>
      <c r="M219" s="453">
        <v>1.0060060060060061</v>
      </c>
      <c r="N219" s="298">
        <v>68311.074242882867</v>
      </c>
      <c r="P219" s="298"/>
    </row>
    <row r="220" spans="8:16">
      <c r="M220" s="453"/>
      <c r="N220" s="298"/>
    </row>
    <row r="221" spans="8:16" s="433" customFormat="1"/>
    <row r="222" spans="8:16">
      <c r="H222" s="603" t="s">
        <v>1267</v>
      </c>
      <c r="I222" s="603"/>
      <c r="J222" s="603"/>
    </row>
    <row r="224" spans="8:16">
      <c r="K224" t="s">
        <v>529</v>
      </c>
    </row>
    <row r="225" spans="8:15">
      <c r="L225" t="s">
        <v>20</v>
      </c>
      <c r="M225" t="s">
        <v>1223</v>
      </c>
      <c r="N225" t="s">
        <v>1224</v>
      </c>
    </row>
    <row r="226" spans="8:15">
      <c r="K226" t="s">
        <v>1227</v>
      </c>
      <c r="L226" s="526">
        <v>144.5</v>
      </c>
      <c r="M226" s="453">
        <v>0.1802869619463506</v>
      </c>
      <c r="N226" s="298">
        <v>8616.8712104692622</v>
      </c>
      <c r="O226" t="s">
        <v>1228</v>
      </c>
    </row>
    <row r="227" spans="8:15">
      <c r="K227" t="s">
        <v>1231</v>
      </c>
      <c r="L227" s="526">
        <v>143.5</v>
      </c>
      <c r="M227" s="453">
        <v>0.17903930131004367</v>
      </c>
      <c r="N227" s="298">
        <v>6659.6998897816611</v>
      </c>
    </row>
    <row r="228" spans="8:15">
      <c r="K228" t="s">
        <v>1232</v>
      </c>
      <c r="L228" s="526">
        <v>134.5</v>
      </c>
      <c r="M228" s="453">
        <v>0.16781035558328133</v>
      </c>
      <c r="N228" s="298">
        <v>6242.0183635932635</v>
      </c>
    </row>
    <row r="229" spans="8:15">
      <c r="K229" t="s">
        <v>1229</v>
      </c>
      <c r="L229" s="526">
        <v>131</v>
      </c>
      <c r="M229" s="453">
        <v>0.16344354335620712</v>
      </c>
      <c r="N229" s="298">
        <v>6079.5866589644429</v>
      </c>
    </row>
    <row r="230" spans="8:15">
      <c r="K230" t="s">
        <v>1233</v>
      </c>
      <c r="L230">
        <v>124</v>
      </c>
      <c r="M230" s="453">
        <v>0.15470991890205865</v>
      </c>
      <c r="N230" s="298">
        <v>2660.5248716656288</v>
      </c>
    </row>
    <row r="231" spans="8:15">
      <c r="K231" t="s">
        <v>1234</v>
      </c>
      <c r="L231">
        <v>124</v>
      </c>
      <c r="M231" s="453">
        <v>0.15470991890205865</v>
      </c>
      <c r="N231" s="298">
        <v>2660.5248716656288</v>
      </c>
    </row>
    <row r="232" spans="8:15">
      <c r="M232" s="453"/>
      <c r="N232" s="298"/>
    </row>
    <row r="233" spans="8:15">
      <c r="M233" s="453"/>
      <c r="N233" s="298"/>
    </row>
    <row r="234" spans="8:15">
      <c r="L234" s="526">
        <v>801.5</v>
      </c>
      <c r="M234" s="453">
        <v>1</v>
      </c>
      <c r="N234" s="298">
        <v>32919.225866139888</v>
      </c>
    </row>
    <row r="236" spans="8:15" s="433" customFormat="1"/>
    <row r="237" spans="8:15">
      <c r="H237" s="603" t="s">
        <v>1267</v>
      </c>
      <c r="I237" s="603"/>
      <c r="J237" s="603"/>
    </row>
    <row r="239" spans="8:15">
      <c r="K239" t="s">
        <v>1268</v>
      </c>
    </row>
    <row r="240" spans="8:15">
      <c r="L240" t="s">
        <v>20</v>
      </c>
      <c r="M240" t="s">
        <v>1223</v>
      </c>
      <c r="N240" t="s">
        <v>1224</v>
      </c>
    </row>
    <row r="241" spans="8:16">
      <c r="K241" t="s">
        <v>1227</v>
      </c>
      <c r="L241">
        <v>53</v>
      </c>
      <c r="M241" s="453">
        <v>0.33333333333333331</v>
      </c>
      <c r="N241" s="298">
        <v>15200</v>
      </c>
      <c r="O241" t="s">
        <v>1228</v>
      </c>
    </row>
    <row r="242" spans="8:16">
      <c r="K242" t="s">
        <v>1231</v>
      </c>
      <c r="L242">
        <v>53</v>
      </c>
      <c r="M242" s="453">
        <v>0.33333333333333331</v>
      </c>
      <c r="N242" s="298">
        <v>11400</v>
      </c>
    </row>
    <row r="243" spans="8:16">
      <c r="K243" t="s">
        <v>1232</v>
      </c>
      <c r="L243">
        <v>53</v>
      </c>
      <c r="M243" s="453">
        <v>0.33333333333333331</v>
      </c>
      <c r="N243" s="298">
        <v>11400</v>
      </c>
    </row>
    <row r="244" spans="8:16">
      <c r="M244" s="453"/>
      <c r="N244" s="298"/>
    </row>
    <row r="245" spans="8:16">
      <c r="L245">
        <v>159</v>
      </c>
      <c r="M245" s="453">
        <v>1</v>
      </c>
      <c r="N245" s="298">
        <v>38000</v>
      </c>
    </row>
    <row r="246" spans="8:16">
      <c r="M246" s="453"/>
      <c r="N246" s="298"/>
    </row>
    <row r="247" spans="8:16" s="433" customFormat="1"/>
    <row r="248" spans="8:16">
      <c r="H248" s="603" t="s">
        <v>1267</v>
      </c>
      <c r="I248" s="603"/>
      <c r="J248" s="603"/>
    </row>
    <row r="250" spans="8:16">
      <c r="K250" t="s">
        <v>1269</v>
      </c>
      <c r="L250" t="s">
        <v>1270</v>
      </c>
    </row>
    <row r="251" spans="8:16">
      <c r="L251" t="s">
        <v>20</v>
      </c>
      <c r="M251" t="s">
        <v>1223</v>
      </c>
      <c r="N251" t="s">
        <v>1224</v>
      </c>
    </row>
    <row r="252" spans="8:16">
      <c r="K252" t="s">
        <v>1225</v>
      </c>
      <c r="L252">
        <v>28.5</v>
      </c>
      <c r="M252" s="453">
        <v>3.0612244897959183E-2</v>
      </c>
      <c r="N252" s="298">
        <v>1530.612244897959</v>
      </c>
      <c r="P252" s="298">
        <v>53.705692803437159</v>
      </c>
    </row>
    <row r="253" spans="8:16">
      <c r="K253" t="s">
        <v>1241</v>
      </c>
      <c r="L253">
        <v>88.5</v>
      </c>
      <c r="M253" s="453">
        <v>9.5059076262083778E-2</v>
      </c>
      <c r="N253" s="298">
        <v>4752.9538131041891</v>
      </c>
      <c r="P253" s="298">
        <v>53.705692803437167</v>
      </c>
    </row>
    <row r="254" spans="8:16">
      <c r="K254" t="s">
        <v>1254</v>
      </c>
      <c r="L254">
        <v>450</v>
      </c>
      <c r="M254" s="453">
        <v>0.48335123523093448</v>
      </c>
      <c r="N254" s="298">
        <v>41068.970212250955</v>
      </c>
      <c r="O254" t="s">
        <v>1226</v>
      </c>
      <c r="P254" s="298">
        <v>91.264378249446565</v>
      </c>
    </row>
    <row r="255" spans="8:16">
      <c r="K255" t="s">
        <v>1260</v>
      </c>
      <c r="L255">
        <v>54</v>
      </c>
      <c r="M255" s="453">
        <v>5.8002148227712137E-2</v>
      </c>
      <c r="N255" s="298">
        <v>2900.1074113856071</v>
      </c>
      <c r="P255" s="298">
        <v>53.705692803437167</v>
      </c>
    </row>
    <row r="256" spans="8:16">
      <c r="K256" t="s">
        <v>1261</v>
      </c>
      <c r="L256">
        <v>89</v>
      </c>
      <c r="M256" s="453">
        <v>9.5596133190118157E-2</v>
      </c>
      <c r="N256" s="298">
        <v>5779.8066595059081</v>
      </c>
      <c r="P256" s="298">
        <v>64.94164785961695</v>
      </c>
    </row>
    <row r="257" spans="8:21">
      <c r="K257" t="s">
        <v>1271</v>
      </c>
      <c r="L257">
        <v>213</v>
      </c>
      <c r="M257" s="453">
        <v>0.22878625134264233</v>
      </c>
      <c r="N257" s="298">
        <v>19439.312567132118</v>
      </c>
      <c r="P257" s="298">
        <v>91.264378249446565</v>
      </c>
    </row>
    <row r="258" spans="8:21">
      <c r="K258" s="484" t="s">
        <v>1272</v>
      </c>
      <c r="L258" s="484">
        <v>8</v>
      </c>
      <c r="M258" s="524">
        <v>8.5929108485499461E-3</v>
      </c>
      <c r="N258" s="523">
        <v>730.11502599557252</v>
      </c>
      <c r="O258" s="484"/>
      <c r="P258" s="523">
        <v>91.264378249446565</v>
      </c>
    </row>
    <row r="259" spans="8:21">
      <c r="L259">
        <v>931</v>
      </c>
      <c r="M259" s="453">
        <v>1</v>
      </c>
      <c r="N259" s="298">
        <v>76201.877934272314</v>
      </c>
      <c r="P259" s="298"/>
    </row>
    <row r="261" spans="8:21" s="433" customFormat="1"/>
    <row r="262" spans="8:21">
      <c r="H262" s="603" t="s">
        <v>1273</v>
      </c>
      <c r="I262" s="603"/>
      <c r="J262" s="603"/>
    </row>
    <row r="264" spans="8:21">
      <c r="K264" t="s">
        <v>1274</v>
      </c>
    </row>
    <row r="265" spans="8:21">
      <c r="L265" t="s">
        <v>20</v>
      </c>
      <c r="M265" t="s">
        <v>1223</v>
      </c>
      <c r="N265" t="s">
        <v>1224</v>
      </c>
      <c r="U265" s="298">
        <f>N266/315</f>
        <v>130.19076209536513</v>
      </c>
    </row>
    <row r="266" spans="8:21">
      <c r="K266" t="s">
        <v>1237</v>
      </c>
      <c r="L266">
        <v>603.5</v>
      </c>
      <c r="M266" s="453">
        <v>0.20130086724482987</v>
      </c>
      <c r="N266" s="298">
        <v>41010.09006004002</v>
      </c>
      <c r="O266" t="s">
        <v>1226</v>
      </c>
      <c r="P266" s="298">
        <v>67.953753206362919</v>
      </c>
    </row>
    <row r="267" spans="8:21">
      <c r="K267" t="s">
        <v>1253</v>
      </c>
      <c r="L267">
        <v>610</v>
      </c>
      <c r="M267" s="453">
        <v>0.20346897931954636</v>
      </c>
      <c r="N267" s="298">
        <v>32860.240160106739</v>
      </c>
      <c r="P267" s="298">
        <v>53.869246164109406</v>
      </c>
    </row>
    <row r="268" spans="8:21">
      <c r="K268" t="s">
        <v>1261</v>
      </c>
      <c r="L268">
        <v>259</v>
      </c>
      <c r="M268" s="453">
        <v>8.6390927284856575E-2</v>
      </c>
      <c r="N268" s="298">
        <v>13952.134756504336</v>
      </c>
      <c r="P268" s="298">
        <v>53.869246164109406</v>
      </c>
    </row>
    <row r="269" spans="8:21">
      <c r="K269" t="s">
        <v>1266</v>
      </c>
      <c r="L269">
        <v>344</v>
      </c>
      <c r="M269" s="453">
        <v>0.11474316210807205</v>
      </c>
      <c r="N269" s="298">
        <v>18531.020680453636</v>
      </c>
      <c r="P269" s="298">
        <v>53.869246164109406</v>
      </c>
    </row>
    <row r="270" spans="8:21">
      <c r="K270" t="s">
        <v>1238</v>
      </c>
      <c r="L270">
        <v>602</v>
      </c>
      <c r="M270" s="453">
        <v>0.20080053368912609</v>
      </c>
      <c r="N270" s="298">
        <v>32429.286190793864</v>
      </c>
      <c r="P270" s="298">
        <v>53.869246164109406</v>
      </c>
    </row>
    <row r="271" spans="8:21">
      <c r="K271" t="s">
        <v>1233</v>
      </c>
      <c r="L271">
        <v>183</v>
      </c>
      <c r="M271" s="453">
        <v>6.104069379586391E-2</v>
      </c>
      <c r="N271" s="298">
        <v>9858.0720480320215</v>
      </c>
      <c r="P271" s="298">
        <v>53.869246164109406</v>
      </c>
    </row>
    <row r="272" spans="8:21">
      <c r="K272" t="s">
        <v>1234</v>
      </c>
      <c r="L272">
        <v>183</v>
      </c>
      <c r="M272" s="453">
        <v>6.104069379586391E-2</v>
      </c>
      <c r="N272" s="298">
        <v>9858.0720480320215</v>
      </c>
      <c r="P272" s="298">
        <v>53.869246164109406</v>
      </c>
    </row>
    <row r="273" spans="8:16">
      <c r="K273" t="s">
        <v>1229</v>
      </c>
      <c r="L273">
        <v>79.5</v>
      </c>
      <c r="M273" s="453">
        <v>2.6517678452301536E-2</v>
      </c>
      <c r="N273" s="298">
        <v>4282.6050700466976</v>
      </c>
      <c r="P273" s="298">
        <v>53.869246164109406</v>
      </c>
    </row>
    <row r="274" spans="8:16">
      <c r="L274">
        <v>134</v>
      </c>
      <c r="M274" s="453"/>
      <c r="N274" s="298"/>
    </row>
    <row r="275" spans="8:16">
      <c r="L275">
        <v>2998</v>
      </c>
      <c r="N275" s="298"/>
    </row>
    <row r="276" spans="8:16">
      <c r="N276" s="298">
        <v>162781.52101400934</v>
      </c>
    </row>
    <row r="279" spans="8:16" s="433" customFormat="1"/>
    <row r="280" spans="8:16">
      <c r="H280" s="603" t="s">
        <v>1273</v>
      </c>
      <c r="I280" s="603"/>
      <c r="J280" s="603"/>
    </row>
    <row r="282" spans="8:16">
      <c r="K282" t="s">
        <v>344</v>
      </c>
    </row>
    <row r="283" spans="8:16">
      <c r="L283" t="s">
        <v>20</v>
      </c>
      <c r="M283" t="s">
        <v>1223</v>
      </c>
      <c r="N283" t="s">
        <v>1224</v>
      </c>
    </row>
    <row r="284" spans="8:16">
      <c r="K284" t="s">
        <v>1271</v>
      </c>
      <c r="L284" s="526">
        <v>159.5</v>
      </c>
      <c r="M284" s="453">
        <v>0.61702127659574468</v>
      </c>
      <c r="N284" s="298">
        <v>18510.638297872341</v>
      </c>
      <c r="P284" s="331">
        <v>116.0541586073501</v>
      </c>
    </row>
    <row r="285" spans="8:16">
      <c r="K285" t="s">
        <v>1272</v>
      </c>
      <c r="L285" s="526">
        <v>99</v>
      </c>
      <c r="M285" s="453">
        <v>0.38297872340425532</v>
      </c>
      <c r="N285" s="298">
        <v>11489.361702127659</v>
      </c>
      <c r="P285" s="331">
        <v>116.05415860735009</v>
      </c>
    </row>
    <row r="286" spans="8:16">
      <c r="L286" s="526">
        <v>258.5</v>
      </c>
      <c r="M286" s="453"/>
      <c r="N286" s="298"/>
    </row>
    <row r="288" spans="8:16" s="433" customFormat="1"/>
    <row r="289" spans="6:17">
      <c r="H289" s="603" t="s">
        <v>158</v>
      </c>
      <c r="I289" s="603"/>
      <c r="J289" s="603"/>
    </row>
    <row r="290" spans="6:17">
      <c r="F290" t="s">
        <v>1275</v>
      </c>
    </row>
    <row r="291" spans="6:17" s="433" customFormat="1"/>
    <row r="292" spans="6:17">
      <c r="H292" s="603" t="s">
        <v>158</v>
      </c>
      <c r="I292" s="603"/>
      <c r="J292" s="603"/>
    </row>
    <row r="296" spans="6:17">
      <c r="K296" t="s">
        <v>1276</v>
      </c>
      <c r="P296" t="s">
        <v>1277</v>
      </c>
    </row>
    <row r="297" spans="6:17">
      <c r="L297" t="s">
        <v>20</v>
      </c>
      <c r="M297" t="s">
        <v>1223</v>
      </c>
      <c r="N297" t="s">
        <v>1224</v>
      </c>
      <c r="Q297" t="s">
        <v>1278</v>
      </c>
    </row>
    <row r="298" spans="6:17">
      <c r="K298" t="s">
        <v>1227</v>
      </c>
      <c r="L298" s="526">
        <v>101.66666666666667</v>
      </c>
      <c r="M298" s="453">
        <v>0.33333333333333337</v>
      </c>
      <c r="N298" s="298">
        <v>16806.131805128211</v>
      </c>
      <c r="O298" t="s">
        <v>1228</v>
      </c>
      <c r="Q298" s="331">
        <v>165.3062144766709</v>
      </c>
    </row>
    <row r="299" spans="6:17">
      <c r="K299" t="s">
        <v>1232</v>
      </c>
      <c r="L299" s="526">
        <v>101.66666666666667</v>
      </c>
      <c r="M299" s="453">
        <v>0.33333333333333337</v>
      </c>
      <c r="N299" s="298">
        <v>13021.265520512823</v>
      </c>
      <c r="Q299" s="331">
        <v>128.07802151324088</v>
      </c>
    </row>
    <row r="300" spans="6:17">
      <c r="K300" t="s">
        <v>1279</v>
      </c>
      <c r="L300" s="526">
        <v>101.66666666666667</v>
      </c>
      <c r="M300" s="453">
        <v>0.33333333333333337</v>
      </c>
      <c r="N300" s="298">
        <v>13021.265520512823</v>
      </c>
      <c r="Q300" s="331">
        <v>128.07802151324088</v>
      </c>
    </row>
    <row r="302" spans="6:17" s="433" customFormat="1"/>
    <row r="303" spans="6:17">
      <c r="H303" s="603" t="s">
        <v>158</v>
      </c>
      <c r="I303" s="603"/>
      <c r="J303" s="603"/>
    </row>
    <row r="304" spans="6:17">
      <c r="K304" t="s">
        <v>1276</v>
      </c>
      <c r="P304" t="s">
        <v>1280</v>
      </c>
    </row>
    <row r="305" spans="8:16">
      <c r="L305" t="s">
        <v>20</v>
      </c>
      <c r="M305" t="s">
        <v>1223</v>
      </c>
      <c r="N305" t="s">
        <v>1224</v>
      </c>
      <c r="P305" t="s">
        <v>1278</v>
      </c>
    </row>
    <row r="306" spans="8:16">
      <c r="K306" t="s">
        <v>1227</v>
      </c>
      <c r="L306" s="557">
        <v>49</v>
      </c>
      <c r="M306" s="453">
        <v>0.2</v>
      </c>
      <c r="N306" s="298">
        <v>10037.578693333331</v>
      </c>
      <c r="O306" t="s">
        <v>1228</v>
      </c>
      <c r="P306" s="331">
        <v>204.84854476190472</v>
      </c>
    </row>
    <row r="307" spans="8:16">
      <c r="K307" t="s">
        <v>1231</v>
      </c>
      <c r="L307" s="557">
        <v>49</v>
      </c>
      <c r="M307" s="453">
        <v>0.2</v>
      </c>
      <c r="N307" s="298">
        <v>6952.729159999999</v>
      </c>
      <c r="P307" s="331">
        <v>141.89243183673466</v>
      </c>
    </row>
    <row r="308" spans="8:16">
      <c r="K308" t="s">
        <v>1232</v>
      </c>
      <c r="L308" s="557">
        <v>49</v>
      </c>
      <c r="M308" s="453">
        <v>0.2</v>
      </c>
      <c r="N308" s="298">
        <v>6952.729159999999</v>
      </c>
      <c r="P308" s="331">
        <v>141.89243183673466</v>
      </c>
    </row>
    <row r="309" spans="8:16">
      <c r="K309" t="s">
        <v>1281</v>
      </c>
      <c r="L309" s="557">
        <v>49</v>
      </c>
      <c r="M309" s="453">
        <v>0.2</v>
      </c>
      <c r="N309" s="298">
        <v>6952.729159999999</v>
      </c>
      <c r="P309" s="331">
        <v>141.89243183673466</v>
      </c>
    </row>
    <row r="310" spans="8:16">
      <c r="K310" t="s">
        <v>1279</v>
      </c>
      <c r="L310" s="557">
        <v>49</v>
      </c>
      <c r="M310" s="453">
        <v>0.2</v>
      </c>
      <c r="N310" s="298">
        <v>6952.729159999999</v>
      </c>
      <c r="P310" s="331">
        <v>141.89243183673466</v>
      </c>
    </row>
    <row r="311" spans="8:16">
      <c r="L311" s="557">
        <v>245</v>
      </c>
      <c r="M311" s="453"/>
      <c r="N311" s="298">
        <v>37848.495333333325</v>
      </c>
      <c r="P311" s="331">
        <v>154.48365442176868</v>
      </c>
    </row>
    <row r="313" spans="8:16" s="433" customFormat="1"/>
    <row r="314" spans="8:16">
      <c r="H314" s="603" t="s">
        <v>158</v>
      </c>
      <c r="I314" s="603"/>
      <c r="J314" s="603"/>
    </row>
    <row r="316" spans="8:16">
      <c r="K316" s="452" t="s">
        <v>1268</v>
      </c>
    </row>
    <row r="317" spans="8:16">
      <c r="L317" t="s">
        <v>20</v>
      </c>
      <c r="M317" t="s">
        <v>1223</v>
      </c>
      <c r="N317" t="s">
        <v>1224</v>
      </c>
      <c r="P317" t="s">
        <v>1278</v>
      </c>
    </row>
    <row r="318" spans="8:16">
      <c r="K318" t="s">
        <v>1227</v>
      </c>
      <c r="L318">
        <v>0</v>
      </c>
      <c r="M318" s="440">
        <v>0</v>
      </c>
      <c r="N318" s="331">
        <v>2099.4957573708921</v>
      </c>
      <c r="O318" s="560" t="s">
        <v>1228</v>
      </c>
      <c r="P318" s="560"/>
    </row>
    <row r="319" spans="8:16">
      <c r="K319" t="s">
        <v>1253</v>
      </c>
      <c r="L319">
        <v>21</v>
      </c>
      <c r="M319" s="440">
        <v>0.16535433070866143</v>
      </c>
      <c r="N319" s="331">
        <v>3124.4464420716422</v>
      </c>
      <c r="O319" s="560"/>
      <c r="P319" s="560">
        <v>148.78316390817344</v>
      </c>
    </row>
    <row r="320" spans="8:16">
      <c r="K320" t="s">
        <v>1260</v>
      </c>
      <c r="L320">
        <v>26.5</v>
      </c>
      <c r="M320" s="440">
        <v>0.20866141732283464</v>
      </c>
      <c r="N320" s="331">
        <v>3942.7538435665956</v>
      </c>
      <c r="O320" s="560"/>
      <c r="P320" s="560">
        <v>148.78316390817341</v>
      </c>
    </row>
    <row r="321" spans="8:16">
      <c r="K321" t="s">
        <v>1229</v>
      </c>
      <c r="L321">
        <v>17</v>
      </c>
      <c r="M321" s="440">
        <v>0.13385826771653545</v>
      </c>
      <c r="N321" s="331">
        <v>2529.3137864389487</v>
      </c>
      <c r="O321" s="560"/>
      <c r="P321" s="560">
        <v>148.78316390817346</v>
      </c>
    </row>
    <row r="322" spans="8:16">
      <c r="K322" t="s">
        <v>1282</v>
      </c>
      <c r="L322">
        <v>26.5</v>
      </c>
      <c r="M322" s="440">
        <v>0.20866141732283464</v>
      </c>
      <c r="N322" s="331">
        <v>3942.7538435665956</v>
      </c>
      <c r="O322" s="560"/>
      <c r="P322" s="560">
        <v>148.78316390817341</v>
      </c>
    </row>
    <row r="323" spans="8:16">
      <c r="K323" t="s">
        <v>1283</v>
      </c>
      <c r="L323">
        <v>17</v>
      </c>
      <c r="M323" s="440">
        <v>0.13385826771653545</v>
      </c>
      <c r="N323" s="331">
        <v>2529.3137864389487</v>
      </c>
      <c r="O323" s="560"/>
      <c r="P323" s="560">
        <v>148.78316390817346</v>
      </c>
    </row>
    <row r="324" spans="8:16">
      <c r="K324" t="s">
        <v>1241</v>
      </c>
      <c r="L324">
        <v>3.5</v>
      </c>
      <c r="M324" s="440">
        <v>2.7559055118110236E-2</v>
      </c>
      <c r="N324" s="331">
        <v>520.74107367860699</v>
      </c>
      <c r="O324" s="560"/>
      <c r="P324" s="560">
        <v>148.78316390817344</v>
      </c>
    </row>
    <row r="325" spans="8:16">
      <c r="K325" t="s">
        <v>1254</v>
      </c>
      <c r="L325">
        <v>15.5</v>
      </c>
      <c r="M325" s="440">
        <v>0.12204724409448819</v>
      </c>
      <c r="N325" s="331">
        <v>2306.1390405766883</v>
      </c>
      <c r="O325" s="560"/>
      <c r="P325" s="560">
        <v>148.78316390817344</v>
      </c>
    </row>
    <row r="326" spans="8:16">
      <c r="M326" s="560"/>
      <c r="N326" s="560"/>
      <c r="O326" s="560"/>
      <c r="P326" s="560"/>
    </row>
    <row r="327" spans="8:16" s="433" customFormat="1"/>
    <row r="328" spans="8:16">
      <c r="H328" s="603" t="s">
        <v>158</v>
      </c>
      <c r="I328" s="603"/>
      <c r="J328" s="603"/>
    </row>
    <row r="330" spans="8:16">
      <c r="K330" t="s">
        <v>473</v>
      </c>
    </row>
    <row r="331" spans="8:16">
      <c r="L331" t="s">
        <v>20</v>
      </c>
      <c r="M331" t="s">
        <v>1223</v>
      </c>
      <c r="N331" t="s">
        <v>1224</v>
      </c>
    </row>
    <row r="332" spans="8:16">
      <c r="K332" t="s">
        <v>1241</v>
      </c>
      <c r="L332">
        <v>11.5</v>
      </c>
      <c r="M332" s="453"/>
      <c r="N332" s="561">
        <v>1200</v>
      </c>
    </row>
    <row r="333" spans="8:16">
      <c r="K333" t="s">
        <v>1254</v>
      </c>
      <c r="L333">
        <v>17.5</v>
      </c>
      <c r="N333" s="561">
        <v>1800</v>
      </c>
    </row>
    <row r="335" spans="8:16" s="433" customFormat="1"/>
    <row r="336" spans="8:16">
      <c r="H336" s="603" t="s">
        <v>158</v>
      </c>
      <c r="I336" s="603"/>
      <c r="J336" s="603"/>
    </row>
    <row r="338" spans="7:16">
      <c r="K338" t="s">
        <v>1284</v>
      </c>
      <c r="P338" t="s">
        <v>1285</v>
      </c>
    </row>
    <row r="339" spans="7:16">
      <c r="L339" t="s">
        <v>20</v>
      </c>
      <c r="M339" t="s">
        <v>1223</v>
      </c>
      <c r="N339" t="s">
        <v>1224</v>
      </c>
      <c r="P339" t="s">
        <v>1278</v>
      </c>
    </row>
    <row r="340" spans="7:16">
      <c r="K340" t="s">
        <v>1227</v>
      </c>
      <c r="L340" s="557"/>
      <c r="M340" s="453">
        <v>0</v>
      </c>
      <c r="N340" s="298">
        <v>1500</v>
      </c>
      <c r="O340" t="s">
        <v>1228</v>
      </c>
      <c r="P340" s="331"/>
    </row>
    <row r="341" spans="7:16">
      <c r="K341" t="s">
        <v>1231</v>
      </c>
      <c r="L341" s="557">
        <v>94</v>
      </c>
      <c r="M341" s="453">
        <v>0.19624217118997914</v>
      </c>
      <c r="N341" s="298">
        <v>4000</v>
      </c>
      <c r="O341" t="s">
        <v>1226</v>
      </c>
      <c r="P341" s="331">
        <v>42.553191489361701</v>
      </c>
    </row>
    <row r="342" spans="7:16">
      <c r="K342" t="s">
        <v>1232</v>
      </c>
      <c r="L342" s="557">
        <v>94</v>
      </c>
      <c r="M342" s="453">
        <v>0.19624217118997914</v>
      </c>
      <c r="N342" s="298">
        <v>2000</v>
      </c>
      <c r="P342" s="331">
        <v>21.276595744680851</v>
      </c>
    </row>
    <row r="343" spans="7:16">
      <c r="K343" t="s">
        <v>1229</v>
      </c>
      <c r="L343" s="557">
        <v>94</v>
      </c>
      <c r="M343" s="453">
        <v>0.19624217118997914</v>
      </c>
      <c r="N343" s="298">
        <v>2000</v>
      </c>
      <c r="P343" s="331">
        <v>21.276595744680851</v>
      </c>
    </row>
    <row r="344" spans="7:16">
      <c r="K344" t="s">
        <v>1234</v>
      </c>
      <c r="L344" s="557">
        <v>94</v>
      </c>
      <c r="M344" s="453">
        <v>0.19624217118997914</v>
      </c>
      <c r="N344" s="298">
        <v>2000</v>
      </c>
      <c r="P344" s="331">
        <v>21.276595744680851</v>
      </c>
    </row>
    <row r="345" spans="7:16">
      <c r="K345" t="s">
        <v>1279</v>
      </c>
      <c r="L345" s="557">
        <v>94</v>
      </c>
      <c r="M345" s="453">
        <v>0.19624217118997914</v>
      </c>
      <c r="N345" s="298">
        <v>2000</v>
      </c>
      <c r="P345" s="331">
        <v>21.276595744680851</v>
      </c>
    </row>
    <row r="346" spans="7:16">
      <c r="K346" t="s">
        <v>1281</v>
      </c>
      <c r="L346" s="557">
        <v>94</v>
      </c>
      <c r="M346" s="453">
        <v>0.19624217118997914</v>
      </c>
      <c r="N346" s="298">
        <v>2000</v>
      </c>
      <c r="P346" s="331">
        <v>21.276595744680851</v>
      </c>
    </row>
    <row r="347" spans="7:16">
      <c r="M347" s="453"/>
      <c r="N347" s="298">
        <v>15500</v>
      </c>
    </row>
    <row r="348" spans="7:16" s="433" customFormat="1"/>
    <row r="349" spans="7:16">
      <c r="G349" s="597" t="s">
        <v>1286</v>
      </c>
      <c r="H349" s="597"/>
      <c r="I349" s="597"/>
      <c r="J349" s="597"/>
      <c r="K349" s="597"/>
    </row>
    <row r="352" spans="7:16">
      <c r="K352" t="s">
        <v>322</v>
      </c>
      <c r="P352" t="s">
        <v>1285</v>
      </c>
    </row>
    <row r="353" spans="8:16">
      <c r="L353" t="s">
        <v>20</v>
      </c>
      <c r="M353" t="s">
        <v>1223</v>
      </c>
      <c r="N353" t="s">
        <v>1224</v>
      </c>
      <c r="P353" t="s">
        <v>1278</v>
      </c>
    </row>
    <row r="354" spans="8:16">
      <c r="K354" t="s">
        <v>1227</v>
      </c>
      <c r="L354" s="557"/>
      <c r="M354" s="453">
        <v>0</v>
      </c>
      <c r="N354" s="596">
        <v>690</v>
      </c>
      <c r="O354" t="s">
        <v>1228</v>
      </c>
      <c r="P354" s="331"/>
    </row>
    <row r="355" spans="8:16">
      <c r="K355" t="s">
        <v>1231</v>
      </c>
      <c r="L355" s="557">
        <v>46</v>
      </c>
      <c r="M355" s="453">
        <v>0.36507936507936506</v>
      </c>
      <c r="N355" s="596">
        <v>2351.3571225396836</v>
      </c>
      <c r="O355" t="s">
        <v>1226</v>
      </c>
      <c r="P355" s="331">
        <v>51.116459185645297</v>
      </c>
    </row>
    <row r="356" spans="8:16">
      <c r="K356" t="s">
        <v>1232</v>
      </c>
      <c r="L356" s="557">
        <v>46</v>
      </c>
      <c r="M356" s="453">
        <v>0.36507936507936506</v>
      </c>
      <c r="N356" s="596">
        <v>2278.3714425396834</v>
      </c>
      <c r="P356" s="331">
        <v>49.529813968253983</v>
      </c>
    </row>
    <row r="357" spans="8:16">
      <c r="K357" t="s">
        <v>1279</v>
      </c>
      <c r="L357" s="557">
        <v>46</v>
      </c>
      <c r="M357" s="453">
        <v>0.36507936507936506</v>
      </c>
      <c r="N357" s="596">
        <v>2278.3714425396834</v>
      </c>
      <c r="P357" s="331">
        <v>49.529813968253983</v>
      </c>
    </row>
    <row r="358" spans="8:16">
      <c r="L358" s="557"/>
      <c r="M358" s="453"/>
      <c r="N358" s="298"/>
      <c r="P358" s="331"/>
    </row>
    <row r="359" spans="8:16">
      <c r="L359" s="557"/>
      <c r="M359" s="453"/>
      <c r="N359" s="298"/>
      <c r="P359" s="331"/>
    </row>
    <row r="360" spans="8:16">
      <c r="L360" s="557"/>
      <c r="M360" s="453"/>
      <c r="N360" s="298"/>
      <c r="P360" s="331"/>
    </row>
    <row r="361" spans="8:16">
      <c r="M361" s="453"/>
      <c r="N361" s="298">
        <v>7598.1000076190503</v>
      </c>
    </row>
    <row r="362" spans="8:16" s="433" customFormat="1"/>
    <row r="363" spans="8:16">
      <c r="H363" s="608" t="s">
        <v>1019</v>
      </c>
      <c r="I363" s="608"/>
      <c r="J363" s="608"/>
    </row>
    <row r="365" spans="8:16">
      <c r="K365" t="s">
        <v>667</v>
      </c>
    </row>
    <row r="366" spans="8:16">
      <c r="L366" t="s">
        <v>20</v>
      </c>
      <c r="M366" t="s">
        <v>1223</v>
      </c>
      <c r="N366" t="s">
        <v>1224</v>
      </c>
    </row>
    <row r="367" spans="8:16">
      <c r="K367" t="s">
        <v>1227</v>
      </c>
      <c r="L367">
        <v>0</v>
      </c>
      <c r="M367" s="453">
        <v>0</v>
      </c>
      <c r="N367" s="298">
        <v>2040.5851199999997</v>
      </c>
      <c r="O367" t="s">
        <v>1228</v>
      </c>
      <c r="P367" s="298" t="e">
        <v>#DIV/0!</v>
      </c>
    </row>
    <row r="368" spans="8:16">
      <c r="K368" t="s">
        <v>1231</v>
      </c>
      <c r="L368">
        <v>47</v>
      </c>
      <c r="M368" s="453">
        <v>0.33333333333333331</v>
      </c>
      <c r="N368" s="298">
        <v>6801.9503999999997</v>
      </c>
      <c r="P368" s="298">
        <v>144.72234893617022</v>
      </c>
    </row>
    <row r="369" spans="8:16">
      <c r="K369" t="s">
        <v>1232</v>
      </c>
      <c r="L369">
        <v>47</v>
      </c>
      <c r="M369" s="453">
        <v>0.33333333333333331</v>
      </c>
      <c r="N369" s="298">
        <v>5781.6578399999999</v>
      </c>
      <c r="P369" s="298">
        <v>123.01399659574467</v>
      </c>
    </row>
    <row r="370" spans="8:16">
      <c r="K370" t="s">
        <v>1279</v>
      </c>
      <c r="L370">
        <v>47</v>
      </c>
      <c r="M370" s="453">
        <v>0.33333333333333331</v>
      </c>
      <c r="N370" s="298">
        <v>5781.6578399999999</v>
      </c>
      <c r="P370" s="298">
        <v>123.01399659574467</v>
      </c>
    </row>
    <row r="371" spans="8:16">
      <c r="L371">
        <v>141</v>
      </c>
      <c r="M371" s="453">
        <v>1</v>
      </c>
      <c r="N371" s="298">
        <v>20405.851199999997</v>
      </c>
      <c r="P371" s="298"/>
    </row>
    <row r="373" spans="8:16" s="433" customFormat="1"/>
    <row r="374" spans="8:16">
      <c r="H374" s="608" t="s">
        <v>1019</v>
      </c>
      <c r="I374" s="608"/>
      <c r="J374" s="608"/>
    </row>
    <row r="375" spans="8:16">
      <c r="K375" t="s">
        <v>1287</v>
      </c>
    </row>
    <row r="376" spans="8:16">
      <c r="L376" t="s">
        <v>20</v>
      </c>
      <c r="M376" t="s">
        <v>1223</v>
      </c>
      <c r="N376" t="s">
        <v>1224</v>
      </c>
    </row>
    <row r="377" spans="8:16">
      <c r="K377" t="s">
        <v>1237</v>
      </c>
      <c r="L377">
        <v>253</v>
      </c>
      <c r="M377" s="453">
        <v>0.18162239770279973</v>
      </c>
      <c r="N377" s="298">
        <v>17446.693512275673</v>
      </c>
      <c r="O377" t="s">
        <v>1226</v>
      </c>
      <c r="P377" s="298">
        <v>68.959262894370255</v>
      </c>
    </row>
    <row r="378" spans="8:16">
      <c r="K378" t="s">
        <v>1238</v>
      </c>
      <c r="L378">
        <v>243</v>
      </c>
      <c r="M378" s="453">
        <v>0.17444364680545585</v>
      </c>
      <c r="N378" s="298">
        <v>16838.653162383351</v>
      </c>
      <c r="P378" s="298">
        <v>69.294868981001443</v>
      </c>
    </row>
    <row r="379" spans="8:16">
      <c r="K379" t="s">
        <v>1253</v>
      </c>
      <c r="L379">
        <v>221.5</v>
      </c>
      <c r="M379" s="453">
        <v>0.15900933237616655</v>
      </c>
      <c r="N379" s="298">
        <v>10676.312180114865</v>
      </c>
      <c r="P379" s="298">
        <v>48.200054989231894</v>
      </c>
    </row>
    <row r="380" spans="8:16">
      <c r="K380" t="s">
        <v>1261</v>
      </c>
      <c r="L380">
        <v>319</v>
      </c>
      <c r="M380" s="453">
        <v>0.22900215362526921</v>
      </c>
      <c r="N380" s="298">
        <v>15375.817541564975</v>
      </c>
      <c r="P380" s="298">
        <v>48.200054989231894</v>
      </c>
    </row>
    <row r="381" spans="8:16">
      <c r="K381" t="s">
        <v>1266</v>
      </c>
      <c r="L381">
        <v>340</v>
      </c>
      <c r="M381" s="453">
        <v>0.2440775305096913</v>
      </c>
      <c r="N381" s="298">
        <v>16388.018696338844</v>
      </c>
      <c r="P381" s="298">
        <v>48.200054989231894</v>
      </c>
    </row>
    <row r="382" spans="8:16">
      <c r="K382" t="s">
        <v>1241</v>
      </c>
      <c r="L382">
        <v>16.5</v>
      </c>
      <c r="M382" s="453">
        <v>1.1844938980617373E-2</v>
      </c>
      <c r="N382" s="298">
        <v>795.30090732232622</v>
      </c>
      <c r="P382" s="298">
        <v>48.200054989231894</v>
      </c>
    </row>
    <row r="383" spans="8:16">
      <c r="L383" s="560">
        <v>1393</v>
      </c>
      <c r="M383" s="453">
        <v>0.98815506101938255</v>
      </c>
      <c r="N383" s="298">
        <v>76725.495092677709</v>
      </c>
      <c r="P383" s="298"/>
    </row>
    <row r="384" spans="8:16" s="433" customFormat="1"/>
    <row r="385" spans="8:16">
      <c r="H385" s="608" t="s">
        <v>1019</v>
      </c>
      <c r="I385" s="608"/>
      <c r="J385" s="608"/>
    </row>
    <row r="386" spans="8:16">
      <c r="K386" t="s">
        <v>1288</v>
      </c>
    </row>
    <row r="387" spans="8:16">
      <c r="L387" t="s">
        <v>20</v>
      </c>
      <c r="M387" t="s">
        <v>1223</v>
      </c>
      <c r="N387" t="s">
        <v>1224</v>
      </c>
    </row>
    <row r="388" spans="8:16">
      <c r="K388" t="s">
        <v>1227</v>
      </c>
      <c r="L388">
        <v>99</v>
      </c>
      <c r="M388" s="453">
        <v>0.33445945945945948</v>
      </c>
      <c r="N388" s="298">
        <v>14574.17335351351</v>
      </c>
      <c r="O388" t="s">
        <v>1228</v>
      </c>
      <c r="P388" s="298">
        <v>147.21387225771221</v>
      </c>
    </row>
    <row r="389" spans="8:16">
      <c r="K389" t="s">
        <v>1260</v>
      </c>
      <c r="L389">
        <v>99</v>
      </c>
      <c r="M389" s="453">
        <v>0.33445945945945948</v>
      </c>
      <c r="N389" s="298">
        <v>10939.838633513511</v>
      </c>
      <c r="P389" s="298">
        <v>110.50342054054052</v>
      </c>
    </row>
    <row r="390" spans="8:16">
      <c r="K390" t="s">
        <v>1281</v>
      </c>
      <c r="L390">
        <v>99</v>
      </c>
      <c r="M390" s="453">
        <v>0.33445945945945948</v>
      </c>
      <c r="N390" s="298">
        <v>10939.838633513511</v>
      </c>
      <c r="P390" s="298">
        <v>110.50342054054052</v>
      </c>
    </row>
    <row r="391" spans="8:16">
      <c r="M391" s="453"/>
      <c r="N391" s="298"/>
      <c r="P391" s="298"/>
    </row>
    <row r="392" spans="8:16">
      <c r="L392">
        <v>297</v>
      </c>
      <c r="M392" s="453">
        <v>1.0033783783783785</v>
      </c>
      <c r="N392" s="298">
        <v>36453.850620540528</v>
      </c>
      <c r="P392" s="298"/>
    </row>
    <row r="393" spans="8:16" s="433" customFormat="1"/>
    <row r="394" spans="8:16">
      <c r="H394" s="604" t="s">
        <v>866</v>
      </c>
      <c r="I394" s="604"/>
      <c r="J394" s="604"/>
    </row>
    <row r="395" spans="8:16">
      <c r="K395" t="s">
        <v>1289</v>
      </c>
    </row>
    <row r="396" spans="8:16">
      <c r="L396" t="s">
        <v>20</v>
      </c>
      <c r="M396" t="s">
        <v>1223</v>
      </c>
      <c r="N396" s="487" t="s">
        <v>1224</v>
      </c>
      <c r="O396" s="487"/>
    </row>
    <row r="397" spans="8:16">
      <c r="K397" t="s">
        <v>1227</v>
      </c>
      <c r="L397" s="601">
        <v>90</v>
      </c>
      <c r="M397" s="453">
        <v>0.36</v>
      </c>
      <c r="N397" s="600">
        <v>23807.939199999993</v>
      </c>
      <c r="O397" s="487" t="s">
        <v>1228</v>
      </c>
      <c r="P397" s="298">
        <v>264.53265777777773</v>
      </c>
    </row>
    <row r="398" spans="8:16">
      <c r="K398" t="s">
        <v>1260</v>
      </c>
      <c r="L398" s="601">
        <v>80</v>
      </c>
      <c r="M398" s="453">
        <v>0.32</v>
      </c>
      <c r="N398" s="600">
        <v>16171.430399999996</v>
      </c>
      <c r="O398" s="487"/>
      <c r="P398" s="298">
        <v>202.14287999999993</v>
      </c>
    </row>
    <row r="399" spans="8:16">
      <c r="K399" t="s">
        <v>1281</v>
      </c>
      <c r="L399" s="601">
        <v>80</v>
      </c>
      <c r="M399" s="453">
        <v>0.32</v>
      </c>
      <c r="N399" s="600">
        <v>16171.430399999996</v>
      </c>
      <c r="O399" s="487"/>
      <c r="P399" s="298">
        <v>202.14287999999993</v>
      </c>
    </row>
    <row r="400" spans="8:16">
      <c r="L400" s="601"/>
      <c r="M400" s="453"/>
      <c r="N400" s="600"/>
      <c r="O400" s="487"/>
      <c r="P400" s="298"/>
    </row>
    <row r="401" spans="1:37">
      <c r="L401" s="601">
        <v>250</v>
      </c>
      <c r="M401" s="453">
        <v>1</v>
      </c>
      <c r="N401" s="600">
        <v>56150.799999999988</v>
      </c>
      <c r="O401" s="487"/>
      <c r="P401" s="298"/>
    </row>
    <row r="403" spans="1:37" s="433" customFormat="1"/>
    <row r="404" spans="1:37">
      <c r="H404" s="604" t="s">
        <v>866</v>
      </c>
      <c r="I404" s="604"/>
      <c r="J404" s="604"/>
    </row>
    <row r="405" spans="1:37">
      <c r="K405" s="441" t="s">
        <v>572</v>
      </c>
      <c r="L405" s="520"/>
      <c r="M405" s="520"/>
      <c r="N405" s="520"/>
    </row>
    <row r="406" spans="1:37">
      <c r="K406" s="520"/>
      <c r="L406" s="520" t="s">
        <v>20</v>
      </c>
      <c r="M406" s="520" t="s">
        <v>1223</v>
      </c>
      <c r="N406" s="520" t="s">
        <v>1224</v>
      </c>
    </row>
    <row r="407" spans="1:37">
      <c r="K407" s="520" t="s">
        <v>1237</v>
      </c>
      <c r="L407" s="520">
        <v>70.5</v>
      </c>
      <c r="M407" s="520">
        <v>80</v>
      </c>
      <c r="N407" s="522">
        <v>5640</v>
      </c>
    </row>
    <row r="408" spans="1:37">
      <c r="K408" s="520" t="s">
        <v>1238</v>
      </c>
      <c r="L408" s="520">
        <v>70.5</v>
      </c>
      <c r="M408" s="520">
        <v>80</v>
      </c>
      <c r="N408" s="522">
        <v>5640</v>
      </c>
    </row>
    <row r="409" spans="1:37">
      <c r="K409" s="520" t="s">
        <v>1253</v>
      </c>
      <c r="L409" s="520">
        <v>38.5</v>
      </c>
      <c r="M409" s="520">
        <v>80</v>
      </c>
      <c r="N409" s="522">
        <v>3080</v>
      </c>
    </row>
    <row r="410" spans="1:37">
      <c r="K410" s="520"/>
      <c r="L410" s="520"/>
      <c r="M410" s="520"/>
      <c r="N410" s="520"/>
    </row>
    <row r="411" spans="1:37">
      <c r="A411" s="433"/>
      <c r="B411" s="433"/>
      <c r="C411" s="433"/>
      <c r="D411" s="433"/>
      <c r="E411" s="433"/>
      <c r="F411" s="433"/>
      <c r="G411" s="433"/>
      <c r="H411" s="433"/>
      <c r="J411" s="433"/>
      <c r="K411" s="433"/>
      <c r="L411" s="433"/>
      <c r="M411" s="433"/>
      <c r="N411" s="433"/>
      <c r="O411" s="433"/>
      <c r="P411" s="433"/>
      <c r="Q411" s="433"/>
      <c r="R411" s="433"/>
      <c r="S411" s="433"/>
      <c r="T411" s="433"/>
      <c r="U411" s="433"/>
      <c r="V411" s="433"/>
      <c r="W411" s="433"/>
      <c r="X411" s="433"/>
      <c r="Y411" s="433"/>
      <c r="Z411" s="433"/>
      <c r="AA411" s="433"/>
      <c r="AB411" s="433"/>
      <c r="AC411" s="433"/>
      <c r="AD411" s="433"/>
      <c r="AE411" s="433"/>
      <c r="AF411" s="433"/>
      <c r="AG411" s="433"/>
      <c r="AH411" s="433"/>
      <c r="AI411" s="433"/>
      <c r="AJ411" s="433"/>
      <c r="AK411" s="433"/>
    </row>
    <row r="412" spans="1:37">
      <c r="H412" s="604" t="s">
        <v>866</v>
      </c>
      <c r="I412" s="604"/>
      <c r="J412" s="604"/>
    </row>
  </sheetData>
  <mergeCells count="40">
    <mergeCell ref="H412:J412"/>
    <mergeCell ref="K28:N28"/>
    <mergeCell ref="H385:J385"/>
    <mergeCell ref="H280:J280"/>
    <mergeCell ref="H336:J336"/>
    <mergeCell ref="H328:J328"/>
    <mergeCell ref="H314:J314"/>
    <mergeCell ref="H363:J363"/>
    <mergeCell ref="H374:J374"/>
    <mergeCell ref="H303:J303"/>
    <mergeCell ref="K55:L55"/>
    <mergeCell ref="K57:L57"/>
    <mergeCell ref="K58:L58"/>
    <mergeCell ref="H51:J51"/>
    <mergeCell ref="H404:J404"/>
    <mergeCell ref="H262:J262"/>
    <mergeCell ref="H1:J1"/>
    <mergeCell ref="H12:J12"/>
    <mergeCell ref="H248:J248"/>
    <mergeCell ref="H237:J237"/>
    <mergeCell ref="H222:J222"/>
    <mergeCell ref="H212:J212"/>
    <mergeCell ref="H194:J194"/>
    <mergeCell ref="H176:J176"/>
    <mergeCell ref="H158:J158"/>
    <mergeCell ref="H141:J141"/>
    <mergeCell ref="H25:J25"/>
    <mergeCell ref="H35:J35"/>
    <mergeCell ref="H60:J60"/>
    <mergeCell ref="H69:J69"/>
    <mergeCell ref="H292:J292"/>
    <mergeCell ref="H289:J289"/>
    <mergeCell ref="H394:J394"/>
    <mergeCell ref="A37:B37"/>
    <mergeCell ref="H133:J133"/>
    <mergeCell ref="H119:J119"/>
    <mergeCell ref="H107:J107"/>
    <mergeCell ref="H96:J96"/>
    <mergeCell ref="H87:J87"/>
    <mergeCell ref="H81:J81"/>
  </mergeCells>
  <dataValidations disablePrompts="1" count="1">
    <dataValidation type="list" allowBlank="1" showInputMessage="1" showErrorMessage="1" sqref="K16:K22" xr:uid="{A2BD9D9F-B0CE-4F73-BF96-1FA11A12DDB0}">
      <formula1>$K$19:$K$45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41DA-19B2-42D9-B477-75CAEC604314}">
  <sheetPr>
    <tabColor rgb="FFFF3300"/>
  </sheetPr>
  <dimension ref="A1:R611"/>
  <sheetViews>
    <sheetView topLeftCell="A584" workbookViewId="0">
      <selection activeCell="F616" sqref="F616"/>
    </sheetView>
  </sheetViews>
  <sheetFormatPr baseColWidth="10" defaultColWidth="11.5" defaultRowHeight="15"/>
  <cols>
    <col min="1" max="1" width="21.6640625" customWidth="1"/>
    <col min="9" max="9" width="2.6640625" style="433" customWidth="1"/>
    <col min="11" max="11" width="23.6640625" bestFit="1" customWidth="1"/>
    <col min="13" max="13" width="6.33203125" bestFit="1" customWidth="1"/>
    <col min="14" max="14" width="9.83203125" customWidth="1"/>
    <col min="16" max="16" width="14" customWidth="1"/>
  </cols>
  <sheetData>
    <row r="1" spans="4:15">
      <c r="D1" s="388"/>
      <c r="H1" s="615" t="s">
        <v>1290</v>
      </c>
      <c r="I1" s="615"/>
      <c r="J1" s="615"/>
    </row>
    <row r="3" spans="4:15">
      <c r="K3" t="s">
        <v>1291</v>
      </c>
    </row>
    <row r="4" spans="4:15">
      <c r="L4" t="s">
        <v>20</v>
      </c>
      <c r="M4" t="s">
        <v>1223</v>
      </c>
      <c r="N4" t="s">
        <v>1224</v>
      </c>
    </row>
    <row r="5" spans="4:15">
      <c r="K5" t="s">
        <v>1225</v>
      </c>
      <c r="L5" s="388">
        <v>137.5</v>
      </c>
      <c r="M5" s="431">
        <v>0.12971698113207547</v>
      </c>
      <c r="N5" s="434">
        <v>3327.2405660377358</v>
      </c>
    </row>
    <row r="6" spans="4:15">
      <c r="K6" t="s">
        <v>1253</v>
      </c>
      <c r="L6" s="388">
        <v>158</v>
      </c>
      <c r="M6" s="431">
        <v>0.1490566037735849</v>
      </c>
      <c r="N6" s="434">
        <v>3823.3018867924525</v>
      </c>
    </row>
    <row r="7" spans="4:15">
      <c r="K7" t="s">
        <v>1292</v>
      </c>
      <c r="L7" s="388">
        <v>141.5</v>
      </c>
      <c r="M7" s="431">
        <v>0.13349056603773585</v>
      </c>
      <c r="N7" s="434">
        <v>3424.0330188679245</v>
      </c>
    </row>
    <row r="8" spans="4:15">
      <c r="K8" t="s">
        <v>1241</v>
      </c>
      <c r="L8" s="388">
        <v>141.5</v>
      </c>
      <c r="M8" s="431">
        <v>0.13349056603773585</v>
      </c>
      <c r="N8" s="434">
        <v>3424.0330188679245</v>
      </c>
    </row>
    <row r="9" spans="4:15">
      <c r="K9" t="s">
        <v>1293</v>
      </c>
      <c r="L9" s="388">
        <v>138.5</v>
      </c>
      <c r="M9" s="431">
        <v>0.13066037735849056</v>
      </c>
      <c r="N9" s="434">
        <v>3351.4386792452829</v>
      </c>
    </row>
    <row r="10" spans="4:15">
      <c r="K10" t="s">
        <v>1254</v>
      </c>
      <c r="L10" s="388">
        <v>209.5</v>
      </c>
      <c r="M10" s="431">
        <v>0.19764150943396228</v>
      </c>
      <c r="N10" s="434">
        <v>6419.5047169811323</v>
      </c>
      <c r="O10" t="s">
        <v>1226</v>
      </c>
    </row>
    <row r="11" spans="4:15">
      <c r="K11" t="s">
        <v>1294</v>
      </c>
      <c r="L11" s="388">
        <v>133.5</v>
      </c>
      <c r="M11" s="431">
        <v>0.12594339622641509</v>
      </c>
      <c r="N11" s="434">
        <v>3230.4481132075471</v>
      </c>
    </row>
    <row r="12" spans="4:15">
      <c r="K12" t="s">
        <v>1227</v>
      </c>
      <c r="L12" s="388" t="s">
        <v>1295</v>
      </c>
      <c r="M12" s="388" t="s">
        <v>1295</v>
      </c>
      <c r="N12" s="434">
        <v>3000</v>
      </c>
      <c r="O12" t="s">
        <v>1228</v>
      </c>
    </row>
    <row r="13" spans="4:15">
      <c r="L13" s="432">
        <v>1060</v>
      </c>
      <c r="N13" s="435">
        <v>30000</v>
      </c>
    </row>
    <row r="18" spans="8:15" s="433" customFormat="1"/>
    <row r="19" spans="8:15">
      <c r="H19" s="615" t="s">
        <v>1290</v>
      </c>
      <c r="I19" s="615"/>
      <c r="J19" s="615"/>
    </row>
    <row r="21" spans="8:15">
      <c r="K21" t="s">
        <v>172</v>
      </c>
    </row>
    <row r="22" spans="8:15">
      <c r="L22" t="s">
        <v>20</v>
      </c>
      <c r="M22" t="s">
        <v>1223</v>
      </c>
      <c r="N22" t="s">
        <v>1224</v>
      </c>
    </row>
    <row r="23" spans="8:15">
      <c r="K23" t="s">
        <v>1231</v>
      </c>
      <c r="L23">
        <v>161.5</v>
      </c>
      <c r="M23" s="431">
        <v>0.2255586592178771</v>
      </c>
      <c r="N23" s="297">
        <v>19254.546879622201</v>
      </c>
    </row>
    <row r="24" spans="8:15">
      <c r="K24" t="s">
        <v>1296</v>
      </c>
      <c r="L24">
        <v>115</v>
      </c>
      <c r="M24" s="431">
        <v>0.16061452513966482</v>
      </c>
      <c r="N24" s="297">
        <v>13710.668056696924</v>
      </c>
    </row>
    <row r="25" spans="8:15">
      <c r="K25" t="s">
        <v>1297</v>
      </c>
      <c r="L25">
        <v>217.5</v>
      </c>
      <c r="M25" s="431">
        <v>0.30377094972067037</v>
      </c>
      <c r="N25" s="297">
        <v>30423.878294231137</v>
      </c>
      <c r="O25" t="s">
        <v>1298</v>
      </c>
    </row>
    <row r="26" spans="8:15">
      <c r="K26" t="s">
        <v>1232</v>
      </c>
      <c r="L26">
        <v>161.5</v>
      </c>
      <c r="M26" s="431">
        <v>0.2255586592178771</v>
      </c>
      <c r="N26" s="297">
        <v>19254.546879622201</v>
      </c>
    </row>
    <row r="27" spans="8:15">
      <c r="K27" t="s">
        <v>1299</v>
      </c>
      <c r="L27">
        <v>60.5</v>
      </c>
      <c r="M27" s="431">
        <v>8.4497206703910616E-2</v>
      </c>
      <c r="N27" s="297">
        <v>7213.0036298275118</v>
      </c>
    </row>
    <row r="28" spans="8:15">
      <c r="K28" t="s">
        <v>1227</v>
      </c>
      <c r="L28" t="s">
        <v>1295</v>
      </c>
      <c r="M28" t="s">
        <v>1295</v>
      </c>
      <c r="N28" s="297">
        <v>9984.0715266666648</v>
      </c>
      <c r="O28" t="s">
        <v>1228</v>
      </c>
    </row>
    <row r="33" spans="8:15">
      <c r="L33">
        <v>716</v>
      </c>
      <c r="M33" s="440">
        <v>0.99999999999999989</v>
      </c>
      <c r="N33" s="297">
        <v>99840.715266666637</v>
      </c>
    </row>
    <row r="36" spans="8:15" s="433" customFormat="1"/>
    <row r="37" spans="8:15">
      <c r="H37" s="604" t="s">
        <v>1300</v>
      </c>
      <c r="I37" s="604"/>
      <c r="J37" s="604"/>
    </row>
    <row r="39" spans="8:15">
      <c r="K39" t="s">
        <v>1301</v>
      </c>
    </row>
    <row r="40" spans="8:15">
      <c r="L40" t="s">
        <v>20</v>
      </c>
      <c r="M40" t="s">
        <v>1223</v>
      </c>
      <c r="N40" t="s">
        <v>1224</v>
      </c>
    </row>
    <row r="41" spans="8:15">
      <c r="K41" t="s">
        <v>1292</v>
      </c>
      <c r="L41" t="s">
        <v>1302</v>
      </c>
      <c r="M41" t="s">
        <v>1302</v>
      </c>
      <c r="N41" t="s">
        <v>1302</v>
      </c>
    </row>
    <row r="42" spans="8:15">
      <c r="K42" t="s">
        <v>1227</v>
      </c>
      <c r="L42">
        <v>25</v>
      </c>
      <c r="M42" s="431">
        <v>0.1388888888888889</v>
      </c>
      <c r="N42" s="331">
        <v>5199.3343229166694</v>
      </c>
      <c r="O42" t="s">
        <v>1228</v>
      </c>
    </row>
    <row r="43" spans="8:15">
      <c r="K43" t="s">
        <v>1231</v>
      </c>
      <c r="L43">
        <v>19.5</v>
      </c>
      <c r="M43" s="431">
        <v>0.10833333333333334</v>
      </c>
      <c r="N43" s="331">
        <v>3271.1240511607157</v>
      </c>
      <c r="O43" t="s">
        <v>1298</v>
      </c>
    </row>
    <row r="44" spans="8:15">
      <c r="K44" t="s">
        <v>1296</v>
      </c>
      <c r="L44">
        <v>36</v>
      </c>
      <c r="M44" s="431">
        <v>0.2</v>
      </c>
      <c r="N44" s="331">
        <v>4064.3939164285739</v>
      </c>
    </row>
    <row r="45" spans="8:15">
      <c r="K45" t="s">
        <v>1299</v>
      </c>
      <c r="L45">
        <v>44</v>
      </c>
      <c r="M45" s="431">
        <v>0.24444444444444444</v>
      </c>
      <c r="N45" s="331">
        <v>4967.5925645238121</v>
      </c>
    </row>
    <row r="46" spans="8:15">
      <c r="K46" t="s">
        <v>1260</v>
      </c>
      <c r="L46">
        <v>36</v>
      </c>
      <c r="M46" s="431">
        <v>0.2</v>
      </c>
      <c r="N46" s="331">
        <v>4064.3939164285739</v>
      </c>
    </row>
    <row r="47" spans="8:15">
      <c r="K47" t="s">
        <v>1232</v>
      </c>
      <c r="L47">
        <v>19.5</v>
      </c>
      <c r="M47" s="431">
        <v>0.10833333333333334</v>
      </c>
      <c r="N47" s="331">
        <v>2201.546704732144</v>
      </c>
    </row>
    <row r="51" spans="8:15">
      <c r="L51">
        <v>180</v>
      </c>
      <c r="M51" s="440">
        <v>1</v>
      </c>
      <c r="N51" s="331">
        <v>23768.385476190488</v>
      </c>
    </row>
    <row r="54" spans="8:15" s="433" customFormat="1"/>
    <row r="55" spans="8:15">
      <c r="H55" s="604" t="s">
        <v>1300</v>
      </c>
      <c r="I55" s="604"/>
      <c r="J55" s="604"/>
    </row>
    <row r="57" spans="8:15">
      <c r="K57" t="s">
        <v>1303</v>
      </c>
    </row>
    <row r="58" spans="8:15">
      <c r="L58" t="s">
        <v>20</v>
      </c>
      <c r="M58" t="s">
        <v>1223</v>
      </c>
      <c r="N58" t="s">
        <v>1224</v>
      </c>
    </row>
    <row r="59" spans="8:15">
      <c r="K59" t="s">
        <v>1227</v>
      </c>
      <c r="L59">
        <v>69.5</v>
      </c>
      <c r="M59" s="440">
        <v>0.34320987654320989</v>
      </c>
      <c r="N59" s="297">
        <v>17204.174270541305</v>
      </c>
      <c r="O59" t="s">
        <v>1228</v>
      </c>
    </row>
    <row r="60" spans="8:15">
      <c r="K60" t="s">
        <v>1296</v>
      </c>
      <c r="L60">
        <v>66.5</v>
      </c>
      <c r="M60" s="440">
        <v>0.32839506172839505</v>
      </c>
      <c r="N60" s="297">
        <v>12435.625967293441</v>
      </c>
    </row>
    <row r="61" spans="8:15">
      <c r="K61" t="s">
        <v>1260</v>
      </c>
      <c r="L61">
        <v>66.5</v>
      </c>
      <c r="M61" s="440">
        <v>0.32839506172839505</v>
      </c>
      <c r="N61" s="297">
        <v>12435.625967293441</v>
      </c>
    </row>
    <row r="62" spans="8:15">
      <c r="N62" s="297"/>
    </row>
    <row r="63" spans="8:15">
      <c r="N63" s="297"/>
    </row>
    <row r="64" spans="8:15">
      <c r="N64" s="297"/>
    </row>
    <row r="65" spans="8:15">
      <c r="L65">
        <v>202.5</v>
      </c>
      <c r="M65" s="440">
        <v>1</v>
      </c>
      <c r="N65" s="297">
        <v>42075.426205128184</v>
      </c>
    </row>
    <row r="70" spans="8:15" s="433" customFormat="1"/>
    <row r="71" spans="8:15">
      <c r="H71" s="604" t="s">
        <v>1300</v>
      </c>
      <c r="I71" s="604"/>
      <c r="J71" s="604"/>
    </row>
    <row r="73" spans="8:15">
      <c r="K73" s="441" t="s">
        <v>137</v>
      </c>
      <c r="L73" s="442"/>
      <c r="M73" s="442"/>
      <c r="N73" s="442"/>
      <c r="O73" s="442"/>
    </row>
    <row r="74" spans="8:15">
      <c r="K74" s="442"/>
      <c r="L74" s="442" t="s">
        <v>20</v>
      </c>
      <c r="M74" s="442" t="s">
        <v>1223</v>
      </c>
      <c r="N74" s="442" t="s">
        <v>1224</v>
      </c>
      <c r="O74" s="442"/>
    </row>
    <row r="75" spans="8:15">
      <c r="K75" s="442" t="s">
        <v>1297</v>
      </c>
      <c r="L75" s="443">
        <v>49</v>
      </c>
      <c r="M75" s="444">
        <v>0.5</v>
      </c>
      <c r="N75" s="445">
        <v>9293.8978755000044</v>
      </c>
      <c r="O75" s="442" t="s">
        <v>1304</v>
      </c>
    </row>
    <row r="76" spans="8:15">
      <c r="K76" s="442" t="s">
        <v>1299</v>
      </c>
      <c r="L76" s="443">
        <v>49</v>
      </c>
      <c r="M76" s="444">
        <v>0.5</v>
      </c>
      <c r="N76" s="445">
        <v>8408.7647445000039</v>
      </c>
      <c r="O76" s="442"/>
    </row>
    <row r="77" spans="8:15">
      <c r="K77" s="442" t="s">
        <v>1227</v>
      </c>
      <c r="L77" s="446" t="s">
        <v>1295</v>
      </c>
      <c r="M77" s="447" t="s">
        <v>1295</v>
      </c>
      <c r="N77" s="445">
        <v>1966.9625133333343</v>
      </c>
      <c r="O77" s="441" t="s">
        <v>1228</v>
      </c>
    </row>
    <row r="78" spans="8:15">
      <c r="K78" s="442"/>
      <c r="L78" s="442"/>
      <c r="M78" s="444"/>
      <c r="N78" s="445"/>
      <c r="O78" s="442"/>
    </row>
    <row r="79" spans="8:15">
      <c r="K79" s="442"/>
      <c r="L79" s="442"/>
      <c r="M79" s="444"/>
      <c r="N79" s="445"/>
      <c r="O79" s="442"/>
    </row>
    <row r="80" spans="8:15">
      <c r="K80" s="442"/>
      <c r="L80" s="448"/>
      <c r="M80" s="449"/>
      <c r="N80" s="445"/>
      <c r="O80" s="441"/>
    </row>
    <row r="81" spans="8:15">
      <c r="K81" s="442"/>
      <c r="L81" s="442"/>
      <c r="M81" s="444"/>
      <c r="N81" s="445"/>
      <c r="O81" s="442"/>
    </row>
    <row r="82" spans="8:15">
      <c r="K82" s="442"/>
      <c r="L82" s="442"/>
      <c r="M82" s="444"/>
      <c r="N82" s="445"/>
      <c r="O82" s="442"/>
    </row>
    <row r="83" spans="8:15">
      <c r="K83" s="442"/>
      <c r="L83" s="442"/>
      <c r="M83" s="444"/>
      <c r="N83" s="445"/>
      <c r="O83" s="442"/>
    </row>
    <row r="84" spans="8:15">
      <c r="K84" s="442"/>
      <c r="L84" s="450"/>
      <c r="M84" s="444"/>
      <c r="N84" s="445"/>
      <c r="O84" s="441"/>
    </row>
    <row r="85" spans="8:15">
      <c r="K85" s="442"/>
      <c r="L85" s="442">
        <v>98</v>
      </c>
      <c r="M85" s="451">
        <v>1</v>
      </c>
      <c r="N85" s="445">
        <v>19669.625133333346</v>
      </c>
      <c r="O85" s="442"/>
    </row>
    <row r="88" spans="8:15" s="433" customFormat="1"/>
    <row r="89" spans="8:15">
      <c r="H89" s="604" t="s">
        <v>1300</v>
      </c>
      <c r="I89" s="604"/>
      <c r="J89" s="604"/>
    </row>
    <row r="92" spans="8:15">
      <c r="K92" s="452" t="s">
        <v>1305</v>
      </c>
    </row>
    <row r="93" spans="8:15">
      <c r="L93" t="s">
        <v>20</v>
      </c>
      <c r="M93" t="s">
        <v>1223</v>
      </c>
      <c r="N93" t="s">
        <v>1224</v>
      </c>
    </row>
    <row r="94" spans="8:15">
      <c r="K94" t="s">
        <v>1227</v>
      </c>
      <c r="L94">
        <v>47.5</v>
      </c>
      <c r="M94" s="453">
        <v>0.23631840796019901</v>
      </c>
      <c r="N94" s="298">
        <v>13321.250804439333</v>
      </c>
      <c r="O94" t="s">
        <v>1228</v>
      </c>
    </row>
    <row r="95" spans="8:15">
      <c r="K95" t="s">
        <v>1231</v>
      </c>
      <c r="L95">
        <v>37.5</v>
      </c>
      <c r="M95" s="453">
        <v>0.18656716417910449</v>
      </c>
      <c r="N95" s="298">
        <v>7153.4163030998807</v>
      </c>
    </row>
    <row r="96" spans="8:15">
      <c r="K96" t="s">
        <v>1296</v>
      </c>
      <c r="L96">
        <v>15.5</v>
      </c>
      <c r="M96" s="453">
        <v>7.7114427860696513E-2</v>
      </c>
      <c r="N96" s="298">
        <v>2956.7454052812836</v>
      </c>
    </row>
    <row r="97" spans="8:15">
      <c r="K97" t="s">
        <v>1299</v>
      </c>
      <c r="L97">
        <v>15.5</v>
      </c>
      <c r="M97" s="453">
        <v>7.7114427860696513E-2</v>
      </c>
      <c r="N97" s="298">
        <v>2956.7454052812836</v>
      </c>
    </row>
    <row r="98" spans="8:15">
      <c r="K98" t="s">
        <v>1232</v>
      </c>
      <c r="L98">
        <v>37.5</v>
      </c>
      <c r="M98" s="453">
        <v>0.18656716417910449</v>
      </c>
      <c r="N98" s="298">
        <v>7153.4163030998807</v>
      </c>
    </row>
    <row r="99" spans="8:15">
      <c r="K99" t="s">
        <v>1260</v>
      </c>
      <c r="L99">
        <v>47.5</v>
      </c>
      <c r="M99" s="453">
        <v>0.23631840796019901</v>
      </c>
      <c r="N99" s="298">
        <v>9060.9939839265153</v>
      </c>
    </row>
    <row r="100" spans="8:15">
      <c r="M100" s="453"/>
      <c r="N100" s="298"/>
    </row>
    <row r="101" spans="8:15">
      <c r="M101" s="453"/>
      <c r="N101" s="298"/>
    </row>
    <row r="102" spans="8:15">
      <c r="M102" s="453"/>
      <c r="N102" s="298"/>
    </row>
    <row r="103" spans="8:15">
      <c r="M103" s="453"/>
      <c r="N103" s="298"/>
    </row>
    <row r="104" spans="8:15">
      <c r="L104" s="454">
        <v>201</v>
      </c>
      <c r="M104" s="453">
        <v>1</v>
      </c>
      <c r="N104" s="298">
        <v>42602.568205128176</v>
      </c>
    </row>
    <row r="106" spans="8:15" s="433" customFormat="1"/>
    <row r="107" spans="8:15">
      <c r="H107" s="604" t="s">
        <v>1300</v>
      </c>
      <c r="I107" s="604"/>
      <c r="J107" s="604"/>
    </row>
    <row r="109" spans="8:15">
      <c r="K109" t="s">
        <v>190</v>
      </c>
    </row>
    <row r="110" spans="8:15">
      <c r="L110" t="s">
        <v>20</v>
      </c>
      <c r="M110" t="s">
        <v>1223</v>
      </c>
      <c r="N110" t="s">
        <v>1224</v>
      </c>
    </row>
    <row r="111" spans="8:15">
      <c r="K111" t="s">
        <v>1227</v>
      </c>
      <c r="L111">
        <v>7</v>
      </c>
      <c r="M111" s="453">
        <v>1.2704174228675136E-2</v>
      </c>
      <c r="N111" s="298">
        <v>3840.3553609803021</v>
      </c>
      <c r="O111" t="s">
        <v>1228</v>
      </c>
    </row>
    <row r="112" spans="8:15">
      <c r="K112" t="s">
        <v>1231</v>
      </c>
      <c r="L112">
        <v>75</v>
      </c>
      <c r="M112" s="453">
        <v>0.13611615245009073</v>
      </c>
      <c r="N112" s="298">
        <v>4810.8961792684804</v>
      </c>
      <c r="O112" t="s">
        <v>1306</v>
      </c>
    </row>
    <row r="113" spans="8:15">
      <c r="K113" t="s">
        <v>1296</v>
      </c>
      <c r="L113">
        <v>7.5</v>
      </c>
      <c r="M113" s="453">
        <v>1.3611615245009074E-2</v>
      </c>
      <c r="N113" s="298">
        <v>403.14772451970509</v>
      </c>
    </row>
    <row r="114" spans="8:15">
      <c r="K114" t="s">
        <v>1241</v>
      </c>
      <c r="L114">
        <v>124</v>
      </c>
      <c r="M114" s="453">
        <v>0.22504537205081671</v>
      </c>
      <c r="N114" s="298">
        <v>6665.3757120591245</v>
      </c>
    </row>
    <row r="115" spans="8:15">
      <c r="K115" t="s">
        <v>1293</v>
      </c>
      <c r="L115">
        <v>87</v>
      </c>
      <c r="M115" s="453">
        <v>0.15789473684210525</v>
      </c>
      <c r="N115" s="298">
        <v>4676.5136044285791</v>
      </c>
    </row>
    <row r="116" spans="8:15">
      <c r="K116" t="s">
        <v>1254</v>
      </c>
      <c r="L116">
        <v>49.5</v>
      </c>
      <c r="M116" s="453">
        <v>8.9836660617059888E-2</v>
      </c>
      <c r="N116" s="298">
        <v>3440.1939159014833</v>
      </c>
      <c r="O116" t="s">
        <v>1306</v>
      </c>
    </row>
    <row r="117" spans="8:15">
      <c r="K117" t="s">
        <v>1294</v>
      </c>
      <c r="L117">
        <v>126</v>
      </c>
      <c r="M117" s="453">
        <v>0.22867513611615245</v>
      </c>
      <c r="N117" s="298">
        <v>6772.8817719310455</v>
      </c>
    </row>
    <row r="118" spans="8:15">
      <c r="K118" t="s">
        <v>1232</v>
      </c>
      <c r="L118">
        <v>75</v>
      </c>
      <c r="M118" s="453">
        <v>0.13611615245009073</v>
      </c>
      <c r="N118" s="298">
        <v>4031.4772451970503</v>
      </c>
    </row>
    <row r="119" spans="8:15">
      <c r="M119" s="453"/>
      <c r="N119" s="298"/>
    </row>
    <row r="120" spans="8:15">
      <c r="M120" s="453"/>
      <c r="N120" s="298"/>
    </row>
    <row r="121" spans="8:15">
      <c r="L121" s="454">
        <v>551</v>
      </c>
      <c r="M121" s="453">
        <v>0.99999999999999978</v>
      </c>
      <c r="N121" s="298">
        <v>34640.84151428577</v>
      </c>
    </row>
    <row r="123" spans="8:15" s="433" customFormat="1"/>
    <row r="124" spans="8:15">
      <c r="H124" s="604" t="s">
        <v>1307</v>
      </c>
      <c r="I124" s="604"/>
      <c r="J124" s="604"/>
    </row>
    <row r="126" spans="8:15">
      <c r="K126" t="s">
        <v>1308</v>
      </c>
      <c r="M126" s="442"/>
      <c r="N126" s="442"/>
      <c r="O126" s="442"/>
    </row>
    <row r="127" spans="8:15">
      <c r="K127" s="442"/>
      <c r="L127" s="442" t="s">
        <v>20</v>
      </c>
      <c r="M127" s="442" t="s">
        <v>1223</v>
      </c>
      <c r="N127" s="442" t="s">
        <v>1224</v>
      </c>
      <c r="O127" s="442"/>
    </row>
    <row r="128" spans="8:15">
      <c r="K128" s="442" t="s">
        <v>1227</v>
      </c>
      <c r="L128" s="442">
        <v>37.5</v>
      </c>
      <c r="M128" s="453">
        <v>0.15657620041753653</v>
      </c>
      <c r="N128" s="298">
        <v>7004.127160066374</v>
      </c>
      <c r="O128" t="s">
        <v>1228</v>
      </c>
    </row>
    <row r="129" spans="8:15">
      <c r="K129" s="442" t="s">
        <v>1231</v>
      </c>
      <c r="L129" s="442">
        <v>37.5</v>
      </c>
      <c r="M129" s="453">
        <v>0.15657620041753653</v>
      </c>
      <c r="N129" s="298">
        <v>4096.868139553555</v>
      </c>
      <c r="O129" s="442"/>
    </row>
    <row r="130" spans="8:15">
      <c r="K130" s="442" t="s">
        <v>1297</v>
      </c>
      <c r="L130" s="442">
        <v>34.5</v>
      </c>
      <c r="M130" s="453">
        <v>0.1440501043841336</v>
      </c>
      <c r="N130" s="298">
        <v>3769.1186883892701</v>
      </c>
    </row>
    <row r="131" spans="8:15">
      <c r="K131" s="442" t="s">
        <v>1241</v>
      </c>
      <c r="L131" s="442">
        <v>37.5</v>
      </c>
      <c r="M131" s="453">
        <v>0.15657620041753653</v>
      </c>
      <c r="N131" s="298">
        <v>4096.868139553555</v>
      </c>
      <c r="O131" s="442"/>
    </row>
    <row r="132" spans="8:15">
      <c r="K132" s="442" t="s">
        <v>1293</v>
      </c>
      <c r="L132" s="442">
        <v>15</v>
      </c>
      <c r="M132" s="453">
        <v>6.2630480167014613E-2</v>
      </c>
      <c r="N132" s="298">
        <v>1638.747255821422</v>
      </c>
      <c r="O132" s="442"/>
    </row>
    <row r="133" spans="8:15">
      <c r="K133" s="442" t="s">
        <v>1254</v>
      </c>
      <c r="L133" s="442">
        <v>5</v>
      </c>
      <c r="M133" s="453">
        <v>2.0876826722338204E-2</v>
      </c>
      <c r="N133" s="298">
        <v>546.24908527380728</v>
      </c>
    </row>
    <row r="134" spans="8:15">
      <c r="K134" s="442" t="s">
        <v>1232</v>
      </c>
      <c r="L134" s="442">
        <v>37.5</v>
      </c>
      <c r="M134" s="453">
        <v>0.15657620041753653</v>
      </c>
      <c r="N134" s="298">
        <v>4096.868139553555</v>
      </c>
      <c r="O134" s="442"/>
    </row>
    <row r="135" spans="8:15">
      <c r="K135" s="442" t="s">
        <v>1309</v>
      </c>
      <c r="L135" s="442">
        <v>5</v>
      </c>
      <c r="M135" s="453">
        <v>2.0876826722338204E-2</v>
      </c>
      <c r="N135" s="298">
        <v>546.24908527380728</v>
      </c>
      <c r="O135" s="442"/>
    </row>
    <row r="136" spans="8:15">
      <c r="K136" s="442" t="s">
        <v>1242</v>
      </c>
      <c r="L136" s="442">
        <v>30</v>
      </c>
      <c r="M136" s="453">
        <v>0.12526096033402923</v>
      </c>
      <c r="N136" s="298">
        <v>3277.4945116428439</v>
      </c>
      <c r="O136" s="442"/>
    </row>
    <row r="137" spans="8:15">
      <c r="K137" s="442"/>
      <c r="M137" s="453"/>
      <c r="N137" s="298"/>
    </row>
    <row r="138" spans="8:15">
      <c r="K138" s="442"/>
      <c r="L138" s="442">
        <v>239.5</v>
      </c>
      <c r="M138" s="453">
        <v>0.99999999999999989</v>
      </c>
      <c r="N138" s="298">
        <v>29072.590205128192</v>
      </c>
      <c r="O138" s="442"/>
    </row>
    <row r="139" spans="8:15" s="433" customFormat="1"/>
    <row r="140" spans="8:15">
      <c r="H140" s="604" t="s">
        <v>1310</v>
      </c>
      <c r="I140" s="604"/>
      <c r="J140" s="604"/>
    </row>
    <row r="143" spans="8:15">
      <c r="K143" t="s">
        <v>1311</v>
      </c>
    </row>
    <row r="144" spans="8:15">
      <c r="L144" t="s">
        <v>20</v>
      </c>
      <c r="M144" t="s">
        <v>1223</v>
      </c>
      <c r="N144" t="s">
        <v>1224</v>
      </c>
    </row>
    <row r="145" spans="8:15">
      <c r="K145" t="s">
        <v>1297</v>
      </c>
      <c r="L145">
        <v>16</v>
      </c>
      <c r="M145">
        <v>0.5</v>
      </c>
      <c r="N145" s="465">
        <v>2899.1125169999982</v>
      </c>
      <c r="O145" t="s">
        <v>1298</v>
      </c>
    </row>
    <row r="146" spans="8:15">
      <c r="K146" t="s">
        <v>1299</v>
      </c>
      <c r="L146">
        <v>16</v>
      </c>
      <c r="M146">
        <v>0.5</v>
      </c>
      <c r="N146" s="465">
        <v>2623.0065629999986</v>
      </c>
    </row>
    <row r="147" spans="8:15">
      <c r="K147" t="s">
        <v>1227</v>
      </c>
      <c r="L147" t="s">
        <v>1228</v>
      </c>
      <c r="M147" t="s">
        <v>1228</v>
      </c>
      <c r="N147" s="465">
        <v>613.56878666666637</v>
      </c>
      <c r="O147" t="s">
        <v>1228</v>
      </c>
    </row>
    <row r="149" spans="8:15" s="433" customFormat="1"/>
    <row r="150" spans="8:15">
      <c r="H150" s="604" t="s">
        <v>1310</v>
      </c>
      <c r="I150" s="604"/>
      <c r="J150" s="604"/>
    </row>
    <row r="152" spans="8:15">
      <c r="K152" t="s">
        <v>1312</v>
      </c>
    </row>
    <row r="153" spans="8:15">
      <c r="L153" t="s">
        <v>20</v>
      </c>
      <c r="M153" t="s">
        <v>1223</v>
      </c>
      <c r="N153" t="s">
        <v>1224</v>
      </c>
    </row>
    <row r="154" spans="8:15">
      <c r="K154" t="s">
        <v>1297</v>
      </c>
      <c r="L154">
        <v>16</v>
      </c>
      <c r="M154" s="453">
        <v>0.5</v>
      </c>
      <c r="N154" s="298">
        <v>2995.0852364999992</v>
      </c>
      <c r="O154" t="s">
        <v>1298</v>
      </c>
    </row>
    <row r="155" spans="8:15">
      <c r="K155" t="s">
        <v>1299</v>
      </c>
      <c r="L155">
        <v>16</v>
      </c>
      <c r="M155" s="453">
        <v>0.5</v>
      </c>
      <c r="N155" s="298">
        <v>2709.8390234999993</v>
      </c>
    </row>
    <row r="156" spans="8:15">
      <c r="K156" t="s">
        <v>1227</v>
      </c>
      <c r="L156" t="s">
        <v>1228</v>
      </c>
      <c r="M156" s="453" t="s">
        <v>1228</v>
      </c>
      <c r="N156" s="298">
        <v>633.88047333333327</v>
      </c>
      <c r="O156" t="s">
        <v>1228</v>
      </c>
    </row>
    <row r="157" spans="8:15">
      <c r="M157" s="453"/>
      <c r="N157" s="298"/>
    </row>
    <row r="158" spans="8:15">
      <c r="M158" s="453"/>
      <c r="N158" s="298">
        <v>6338.8047333333298</v>
      </c>
    </row>
    <row r="159" spans="8:15" s="433" customFormat="1">
      <c r="H159" s="614"/>
      <c r="I159" s="614"/>
      <c r="J159" s="614"/>
    </row>
    <row r="160" spans="8:15">
      <c r="H160" s="604" t="s">
        <v>1310</v>
      </c>
      <c r="I160" s="604"/>
      <c r="J160" s="604"/>
    </row>
    <row r="163" spans="11:15">
      <c r="K163" s="441" t="s">
        <v>1313</v>
      </c>
      <c r="L163" s="442"/>
      <c r="M163" s="442"/>
      <c r="N163" s="442"/>
      <c r="O163" s="442"/>
    </row>
    <row r="164" spans="11:15">
      <c r="K164" s="442"/>
      <c r="L164" s="442" t="s">
        <v>20</v>
      </c>
      <c r="M164" s="442" t="s">
        <v>1223</v>
      </c>
      <c r="N164" s="442" t="s">
        <v>1224</v>
      </c>
      <c r="O164" s="442"/>
    </row>
    <row r="165" spans="11:15">
      <c r="K165" s="442" t="s">
        <v>1225</v>
      </c>
      <c r="L165" s="442">
        <v>355.5</v>
      </c>
      <c r="M165" s="466">
        <v>0.20273738237810093</v>
      </c>
      <c r="N165" s="445">
        <v>17197.492841225474</v>
      </c>
      <c r="O165" s="441" t="s">
        <v>1226</v>
      </c>
    </row>
    <row r="166" spans="11:15">
      <c r="K166" s="442" t="s">
        <v>1253</v>
      </c>
      <c r="L166" s="442">
        <v>336</v>
      </c>
      <c r="M166" s="466">
        <v>0.19161676646706588</v>
      </c>
      <c r="N166" s="445">
        <v>12904.183626984419</v>
      </c>
      <c r="O166" s="442"/>
    </row>
    <row r="167" spans="11:15">
      <c r="K167" s="442" t="s">
        <v>1227</v>
      </c>
      <c r="L167" s="442">
        <v>29.5</v>
      </c>
      <c r="M167" s="466">
        <v>1.6823495865412035E-2</v>
      </c>
      <c r="N167" s="445">
        <v>9009.4137097024959</v>
      </c>
      <c r="O167" s="441" t="s">
        <v>1228</v>
      </c>
    </row>
    <row r="168" spans="11:15">
      <c r="K168" s="442" t="s">
        <v>1296</v>
      </c>
      <c r="L168" s="442">
        <v>29.5</v>
      </c>
      <c r="M168" s="466">
        <v>1.6823495865412035E-2</v>
      </c>
      <c r="N168" s="445">
        <v>1132.9565982025013</v>
      </c>
      <c r="O168" s="442"/>
    </row>
    <row r="169" spans="11:15">
      <c r="K169" s="442" t="s">
        <v>1297</v>
      </c>
      <c r="L169" s="442">
        <v>45.5</v>
      </c>
      <c r="M169" s="466">
        <v>2.5948103792415168E-2</v>
      </c>
      <c r="N169" s="445">
        <v>1747.4415328208067</v>
      </c>
      <c r="O169" s="442"/>
    </row>
    <row r="170" spans="11:15">
      <c r="K170" s="442" t="s">
        <v>1241</v>
      </c>
      <c r="L170" s="442">
        <v>84</v>
      </c>
      <c r="M170" s="466">
        <v>4.790419161676647E-2</v>
      </c>
      <c r="N170" s="445">
        <v>3226.0459067461047</v>
      </c>
      <c r="O170" s="442"/>
    </row>
    <row r="171" spans="11:15">
      <c r="K171" s="442" t="s">
        <v>1293</v>
      </c>
      <c r="L171" s="442">
        <v>82.5</v>
      </c>
      <c r="M171" s="466">
        <v>4.7048759623609923E-2</v>
      </c>
      <c r="N171" s="445">
        <v>3168.4379441256388</v>
      </c>
      <c r="O171" s="442"/>
    </row>
    <row r="172" spans="11:15">
      <c r="K172" s="442" t="s">
        <v>1254</v>
      </c>
      <c r="L172" s="442">
        <v>220.5</v>
      </c>
      <c r="M172" s="466">
        <v>0.12574850299401197</v>
      </c>
      <c r="N172" s="445">
        <v>8468.3705052085243</v>
      </c>
      <c r="O172" s="442"/>
    </row>
    <row r="173" spans="11:15">
      <c r="K173" s="442" t="s">
        <v>1299</v>
      </c>
      <c r="L173" s="442">
        <v>64</v>
      </c>
      <c r="M173" s="466">
        <v>3.6498431708012549E-2</v>
      </c>
      <c r="N173" s="445">
        <v>2457.9397384732229</v>
      </c>
      <c r="O173" s="442"/>
    </row>
    <row r="174" spans="11:15">
      <c r="K174" s="442" t="s">
        <v>1238</v>
      </c>
      <c r="L174" s="442">
        <v>70</v>
      </c>
      <c r="M174" s="466">
        <v>3.9920159680638723E-2</v>
      </c>
      <c r="N174" s="445">
        <v>2688.3715889550872</v>
      </c>
      <c r="O174" s="441"/>
    </row>
    <row r="175" spans="11:15">
      <c r="K175" s="442" t="s">
        <v>1237</v>
      </c>
      <c r="L175" s="442">
        <v>70</v>
      </c>
      <c r="M175" s="466">
        <v>3.9920159680638723E-2</v>
      </c>
      <c r="N175" s="445">
        <v>2688.3715889550872</v>
      </c>
      <c r="O175" s="442"/>
    </row>
    <row r="176" spans="11:15">
      <c r="K176" s="442" t="s">
        <v>1309</v>
      </c>
      <c r="L176" s="442">
        <v>68.5</v>
      </c>
      <c r="M176" s="466">
        <v>3.9064727687482176E-2</v>
      </c>
      <c r="N176" s="445">
        <v>2630.7636263346208</v>
      </c>
      <c r="O176" s="442"/>
    </row>
    <row r="177" spans="8:15">
      <c r="K177" s="442" t="s">
        <v>1314</v>
      </c>
      <c r="L177" s="442">
        <v>154.5</v>
      </c>
      <c r="M177" s="466">
        <v>8.8109495295124032E-2</v>
      </c>
      <c r="N177" s="445">
        <v>5933.6201499080134</v>
      </c>
      <c r="O177" s="442" t="s">
        <v>1315</v>
      </c>
    </row>
    <row r="178" spans="8:15">
      <c r="K178" s="442" t="s">
        <v>1314</v>
      </c>
      <c r="L178" s="442">
        <v>143.5</v>
      </c>
      <c r="M178" s="466">
        <v>8.1836327345309379E-2</v>
      </c>
      <c r="N178" s="445">
        <v>5511.1617573579288</v>
      </c>
      <c r="O178" s="442" t="s">
        <v>1315</v>
      </c>
    </row>
    <row r="179" spans="8:15">
      <c r="K179" s="442"/>
      <c r="L179" s="467">
        <v>1753.5</v>
      </c>
      <c r="M179" s="442"/>
      <c r="N179" s="468">
        <v>78764.571114999926</v>
      </c>
      <c r="O179" s="442"/>
    </row>
    <row r="180" spans="8:15" s="469" customFormat="1"/>
    <row r="181" spans="8:15">
      <c r="H181" s="613" t="s">
        <v>1316</v>
      </c>
      <c r="I181" s="613"/>
      <c r="J181" s="613"/>
    </row>
    <row r="183" spans="8:15">
      <c r="K183" s="483" t="s">
        <v>242</v>
      </c>
      <c r="L183" s="483"/>
      <c r="M183" s="442"/>
      <c r="N183" s="442"/>
      <c r="O183" s="442"/>
    </row>
    <row r="184" spans="8:15">
      <c r="K184" s="442"/>
      <c r="L184" s="442" t="s">
        <v>20</v>
      </c>
      <c r="M184" s="442" t="s">
        <v>1223</v>
      </c>
      <c r="N184" s="442" t="s">
        <v>1224</v>
      </c>
      <c r="O184" s="442"/>
    </row>
    <row r="185" spans="8:15">
      <c r="K185" s="442" t="s">
        <v>1227</v>
      </c>
      <c r="L185" s="442">
        <v>84</v>
      </c>
      <c r="M185" s="453">
        <v>0.21903520208604954</v>
      </c>
      <c r="N185" s="298">
        <v>24327.922696359321</v>
      </c>
      <c r="O185" s="483" t="s">
        <v>1228</v>
      </c>
    </row>
    <row r="186" spans="8:15">
      <c r="K186" s="442" t="s">
        <v>1296</v>
      </c>
      <c r="L186" s="442">
        <v>88</v>
      </c>
      <c r="M186" s="453">
        <v>0.22946544980443284</v>
      </c>
      <c r="N186" s="298">
        <v>17284.52262002333</v>
      </c>
      <c r="O186" s="442"/>
    </row>
    <row r="187" spans="8:15">
      <c r="K187" s="442" t="s">
        <v>1254</v>
      </c>
      <c r="L187" s="442">
        <v>52.5</v>
      </c>
      <c r="M187" s="453">
        <v>0.13689700130378096</v>
      </c>
      <c r="N187" s="298">
        <v>8866.5475858093723</v>
      </c>
      <c r="O187" s="441"/>
    </row>
    <row r="188" spans="8:15">
      <c r="K188" s="442" t="s">
        <v>1260</v>
      </c>
      <c r="L188" s="442">
        <v>88</v>
      </c>
      <c r="M188" s="453">
        <v>0.22946544980443284</v>
      </c>
      <c r="N188" s="298">
        <v>17142.02262002333</v>
      </c>
      <c r="O188" s="442"/>
    </row>
    <row r="189" spans="8:15">
      <c r="K189" s="442" t="s">
        <v>1309</v>
      </c>
      <c r="L189" s="442">
        <v>71</v>
      </c>
      <c r="M189" s="453">
        <v>0.18513689700130379</v>
      </c>
      <c r="N189" s="298">
        <v>11990.950068427914</v>
      </c>
      <c r="O189" s="442"/>
    </row>
    <row r="190" spans="8:15">
      <c r="K190" s="442"/>
      <c r="L190" s="450"/>
      <c r="M190" s="453"/>
      <c r="N190" s="298"/>
      <c r="O190" s="441"/>
    </row>
    <row r="191" spans="8:15">
      <c r="K191" s="442"/>
      <c r="L191" s="442">
        <v>383.5</v>
      </c>
      <c r="M191" s="453">
        <v>0.99999999999999989</v>
      </c>
      <c r="N191" s="298">
        <v>79611.965590643274</v>
      </c>
      <c r="O191" s="442"/>
    </row>
    <row r="193" spans="1:17" s="433" customFormat="1"/>
    <row r="194" spans="1:17">
      <c r="H194" s="604" t="s">
        <v>1316</v>
      </c>
      <c r="I194" s="604"/>
      <c r="J194" s="604"/>
    </row>
    <row r="195" spans="1:17">
      <c r="A195" s="452" t="s">
        <v>1317</v>
      </c>
      <c r="B195" s="452"/>
      <c r="C195" s="452"/>
      <c r="D195" s="452"/>
      <c r="P195" s="341" t="s">
        <v>12</v>
      </c>
      <c r="Q195" s="341" t="s">
        <v>1318</v>
      </c>
    </row>
    <row r="196" spans="1:17">
      <c r="A196" s="452" t="s">
        <v>1319</v>
      </c>
      <c r="B196" s="452"/>
      <c r="C196" s="452"/>
      <c r="D196" s="452"/>
      <c r="P196" s="341">
        <v>40</v>
      </c>
      <c r="Q196" s="341">
        <v>700</v>
      </c>
    </row>
    <row r="197" spans="1:17">
      <c r="A197" s="452" t="s">
        <v>17</v>
      </c>
      <c r="B197" t="s">
        <v>1320</v>
      </c>
      <c r="C197" s="452"/>
      <c r="D197" s="452"/>
      <c r="E197" s="452"/>
      <c r="P197" s="341">
        <v>45</v>
      </c>
      <c r="Q197" s="341">
        <v>1000</v>
      </c>
    </row>
    <row r="198" spans="1:17">
      <c r="A198" s="452" t="s">
        <v>1321</v>
      </c>
      <c r="B198" s="452" t="s">
        <v>1248</v>
      </c>
      <c r="C198" s="452" t="s">
        <v>1322</v>
      </c>
      <c r="D198" s="452" t="s">
        <v>1323</v>
      </c>
      <c r="P198" s="341">
        <v>50</v>
      </c>
      <c r="Q198" s="341">
        <v>1300</v>
      </c>
    </row>
    <row r="199" spans="1:17">
      <c r="A199">
        <v>60</v>
      </c>
      <c r="B199" s="470">
        <v>45433</v>
      </c>
      <c r="C199" s="471">
        <v>1900</v>
      </c>
      <c r="P199" s="341">
        <v>55</v>
      </c>
      <c r="Q199" s="341">
        <v>1600</v>
      </c>
    </row>
    <row r="200" spans="1:17">
      <c r="A200">
        <v>52</v>
      </c>
      <c r="B200" s="470">
        <v>45434</v>
      </c>
      <c r="C200" s="471">
        <v>1300</v>
      </c>
      <c r="P200" s="341">
        <v>60</v>
      </c>
      <c r="Q200" s="341">
        <v>1900</v>
      </c>
    </row>
    <row r="201" spans="1:17">
      <c r="A201">
        <v>60</v>
      </c>
      <c r="B201" s="470">
        <v>45435</v>
      </c>
      <c r="C201" s="471">
        <v>1900</v>
      </c>
      <c r="P201" s="341">
        <v>65</v>
      </c>
      <c r="Q201" s="341">
        <v>2200</v>
      </c>
    </row>
    <row r="202" spans="1:17">
      <c r="A202">
        <v>34</v>
      </c>
      <c r="B202" s="470">
        <v>45436</v>
      </c>
      <c r="C202" s="471">
        <v>0</v>
      </c>
      <c r="P202" s="341">
        <v>70</v>
      </c>
      <c r="Q202" s="341">
        <v>2500</v>
      </c>
    </row>
    <row r="203" spans="1:17">
      <c r="P203" s="341">
        <v>75</v>
      </c>
      <c r="Q203" s="341">
        <v>2800</v>
      </c>
    </row>
    <row r="204" spans="1:17">
      <c r="A204" t="s">
        <v>1324</v>
      </c>
      <c r="C204" s="472">
        <v>0.14099999999999999</v>
      </c>
      <c r="P204" s="341"/>
      <c r="Q204" s="341" t="s">
        <v>1325</v>
      </c>
    </row>
    <row r="205" spans="1:17">
      <c r="A205" t="s">
        <v>1326</v>
      </c>
      <c r="C205" s="472">
        <v>0.10199999999999999</v>
      </c>
      <c r="P205" s="341"/>
      <c r="Q205" s="474" t="s">
        <v>1327</v>
      </c>
    </row>
    <row r="206" spans="1:17">
      <c r="C206" s="471">
        <f>SUM(C199:C202)</f>
        <v>5100</v>
      </c>
      <c r="D206" s="471">
        <f>C206+(C206*C204)+(C206*C205)</f>
        <v>6339.3</v>
      </c>
    </row>
    <row r="207" spans="1:17" ht="16" thickBot="1">
      <c r="A207" t="s">
        <v>1328</v>
      </c>
      <c r="C207" s="475">
        <f>C206</f>
        <v>5100</v>
      </c>
      <c r="D207" s="473">
        <f>D206</f>
        <v>6339.3</v>
      </c>
    </row>
    <row r="208" spans="1:17" ht="16" thickTop="1"/>
    <row r="209" spans="1:10" s="433" customFormat="1"/>
    <row r="210" spans="1:10">
      <c r="H210" s="604" t="s">
        <v>1316</v>
      </c>
      <c r="I210" s="604"/>
      <c r="J210" s="604"/>
    </row>
    <row r="212" spans="1:10">
      <c r="A212" s="452" t="s">
        <v>1317</v>
      </c>
      <c r="B212" s="452"/>
      <c r="C212" s="452"/>
      <c r="D212" s="452"/>
    </row>
    <row r="213" spans="1:10">
      <c r="A213" s="452" t="s">
        <v>1329</v>
      </c>
      <c r="B213" s="452"/>
      <c r="C213" s="452"/>
      <c r="D213" s="452"/>
    </row>
    <row r="214" spans="1:10">
      <c r="A214" s="452" t="s">
        <v>17</v>
      </c>
      <c r="B214" t="s">
        <v>1320</v>
      </c>
      <c r="C214" s="452"/>
      <c r="D214" s="452"/>
      <c r="E214" s="452"/>
    </row>
    <row r="215" spans="1:10">
      <c r="A215" s="452" t="s">
        <v>1321</v>
      </c>
      <c r="B215" s="452" t="s">
        <v>1248</v>
      </c>
      <c r="C215" s="452" t="s">
        <v>1322</v>
      </c>
      <c r="D215" s="452" t="s">
        <v>1323</v>
      </c>
    </row>
    <row r="216" spans="1:10">
      <c r="A216">
        <v>40</v>
      </c>
      <c r="B216" s="470">
        <v>45441</v>
      </c>
      <c r="C216" s="471">
        <v>1300</v>
      </c>
    </row>
    <row r="217" spans="1:10">
      <c r="A217">
        <v>60</v>
      </c>
      <c r="B217" s="470">
        <v>45442</v>
      </c>
      <c r="C217" s="471">
        <v>1900</v>
      </c>
    </row>
    <row r="218" spans="1:10">
      <c r="B218" s="470"/>
      <c r="C218" s="471"/>
    </row>
    <row r="219" spans="1:10">
      <c r="B219" s="470"/>
      <c r="C219" s="471"/>
    </row>
    <row r="221" spans="1:10">
      <c r="A221" t="s">
        <v>1324</v>
      </c>
      <c r="C221" s="472">
        <v>0.14099999999999999</v>
      </c>
    </row>
    <row r="222" spans="1:10">
      <c r="A222" t="s">
        <v>1326</v>
      </c>
      <c r="C222" s="472">
        <v>0.10199999999999999</v>
      </c>
    </row>
    <row r="223" spans="1:10">
      <c r="C223" s="471">
        <f>SUM(C216:C219)</f>
        <v>3200</v>
      </c>
      <c r="D223" s="471">
        <f>C223+(C223*C221)+(C223*C222)</f>
        <v>3977.6</v>
      </c>
    </row>
    <row r="224" spans="1:10" ht="16" thickBot="1">
      <c r="A224" t="s">
        <v>1328</v>
      </c>
      <c r="C224" s="475">
        <f>C223</f>
        <v>3200</v>
      </c>
      <c r="D224" s="473">
        <f>D223</f>
        <v>3977.6</v>
      </c>
    </row>
    <row r="225" spans="8:15" ht="16" thickTop="1"/>
    <row r="226" spans="8:15" s="433" customFormat="1"/>
    <row r="227" spans="8:15">
      <c r="H227" s="604" t="s">
        <v>1316</v>
      </c>
      <c r="I227" s="604"/>
      <c r="J227" s="604"/>
    </row>
    <row r="230" spans="8:15">
      <c r="K230" s="452" t="s">
        <v>1330</v>
      </c>
    </row>
    <row r="231" spans="8:15">
      <c r="L231" t="s">
        <v>20</v>
      </c>
      <c r="M231" t="s">
        <v>1223</v>
      </c>
      <c r="N231" t="s">
        <v>1224</v>
      </c>
    </row>
    <row r="232" spans="8:15">
      <c r="K232" t="s">
        <v>1225</v>
      </c>
      <c r="L232">
        <v>20.5</v>
      </c>
      <c r="M232" s="453">
        <v>0.14748201438848921</v>
      </c>
      <c r="N232" s="298">
        <v>5427.3686736852524</v>
      </c>
    </row>
    <row r="233" spans="8:15">
      <c r="K233" t="s">
        <v>1253</v>
      </c>
      <c r="L233">
        <v>36.5</v>
      </c>
      <c r="M233" s="453">
        <v>0.26258992805755393</v>
      </c>
      <c r="N233" s="298">
        <v>9663.3637360737412</v>
      </c>
    </row>
    <row r="234" spans="8:15">
      <c r="K234" t="s">
        <v>1254</v>
      </c>
      <c r="L234">
        <v>41</v>
      </c>
      <c r="M234" s="453">
        <v>0.29496402877697842</v>
      </c>
      <c r="N234" s="298">
        <v>10854.737347370505</v>
      </c>
    </row>
    <row r="235" spans="8:15">
      <c r="K235" t="s">
        <v>1309</v>
      </c>
      <c r="L235">
        <v>41</v>
      </c>
      <c r="M235" s="453">
        <v>0.29496402877697842</v>
      </c>
      <c r="N235" s="298">
        <v>12791.590352870506</v>
      </c>
      <c r="O235" s="452" t="s">
        <v>1298</v>
      </c>
    </row>
    <row r="236" spans="8:15">
      <c r="K236" t="s">
        <v>1227</v>
      </c>
      <c r="L236" t="s">
        <v>1228</v>
      </c>
      <c r="M236" s="453" t="s">
        <v>1228</v>
      </c>
      <c r="N236" s="298">
        <v>4304.1177900000012</v>
      </c>
      <c r="O236" s="452" t="s">
        <v>1228</v>
      </c>
    </row>
    <row r="237" spans="8:15">
      <c r="L237" s="484"/>
      <c r="M237" s="453"/>
      <c r="N237" s="298"/>
    </row>
    <row r="238" spans="8:15">
      <c r="L238">
        <v>139</v>
      </c>
      <c r="M238" s="453">
        <v>0.99999999999999989</v>
      </c>
      <c r="N238" s="298">
        <v>43041.17790000001</v>
      </c>
    </row>
    <row r="239" spans="8:15">
      <c r="M239" s="453"/>
      <c r="N239" s="298"/>
    </row>
    <row r="240" spans="8:15" s="433" customFormat="1"/>
    <row r="241" spans="8:15">
      <c r="H241" s="604" t="s">
        <v>1316</v>
      </c>
      <c r="I241" s="604"/>
      <c r="J241" s="604"/>
    </row>
    <row r="243" spans="8:15">
      <c r="K243" t="s">
        <v>193</v>
      </c>
    </row>
    <row r="244" spans="8:15">
      <c r="L244" t="s">
        <v>20</v>
      </c>
      <c r="M244" t="s">
        <v>1223</v>
      </c>
      <c r="N244" t="s">
        <v>1224</v>
      </c>
    </row>
    <row r="245" spans="8:15">
      <c r="K245" t="s">
        <v>1225</v>
      </c>
      <c r="L245">
        <v>9.5</v>
      </c>
      <c r="M245" s="453">
        <v>8.7922258213789916E-3</v>
      </c>
      <c r="N245" s="298">
        <v>1028.4532763885493</v>
      </c>
    </row>
    <row r="246" spans="8:15">
      <c r="K246" t="s">
        <v>1253</v>
      </c>
      <c r="L246">
        <v>9.5</v>
      </c>
      <c r="M246" s="453">
        <v>8.7922258213789916E-3</v>
      </c>
      <c r="N246" s="298">
        <v>1028.4532763885493</v>
      </c>
    </row>
    <row r="247" spans="8:15">
      <c r="K247" t="s">
        <v>1227</v>
      </c>
      <c r="L247">
        <v>13</v>
      </c>
      <c r="M247" s="453">
        <v>1.2031466913465988E-2</v>
      </c>
      <c r="N247" s="298">
        <v>15088.413010876146</v>
      </c>
      <c r="O247" t="s">
        <v>1228</v>
      </c>
    </row>
    <row r="248" spans="8:15">
      <c r="K248" t="s">
        <v>1231</v>
      </c>
      <c r="L248">
        <v>212.5</v>
      </c>
      <c r="M248" s="453">
        <v>0.19666820916242481</v>
      </c>
      <c r="N248" s="298">
        <v>29161.35107233571</v>
      </c>
      <c r="O248" t="s">
        <v>1226</v>
      </c>
    </row>
    <row r="249" spans="8:15">
      <c r="K249" t="s">
        <v>1297</v>
      </c>
      <c r="L249">
        <v>50</v>
      </c>
      <c r="M249" s="453">
        <v>4.6274872744099957E-2</v>
      </c>
      <c r="N249" s="298">
        <v>10338.661883695419</v>
      </c>
    </row>
    <row r="250" spans="8:15">
      <c r="K250" t="s">
        <v>1241</v>
      </c>
      <c r="L250">
        <v>144.5</v>
      </c>
      <c r="M250" s="453">
        <v>0.13373438223044887</v>
      </c>
      <c r="N250" s="298">
        <v>10428.877083378622</v>
      </c>
    </row>
    <row r="251" spans="8:15">
      <c r="K251" t="s">
        <v>1293</v>
      </c>
      <c r="L251">
        <v>136.5</v>
      </c>
      <c r="M251" s="453">
        <v>0.12633040259139289</v>
      </c>
      <c r="N251" s="298">
        <v>9851.499805406107</v>
      </c>
    </row>
    <row r="252" spans="8:15">
      <c r="K252" t="s">
        <v>1254</v>
      </c>
      <c r="L252">
        <v>30</v>
      </c>
      <c r="M252" s="453">
        <v>2.7764923646459973E-2</v>
      </c>
      <c r="N252" s="298">
        <v>3247.7471885954192</v>
      </c>
    </row>
    <row r="253" spans="8:15">
      <c r="K253" t="s">
        <v>1299</v>
      </c>
      <c r="L253">
        <v>62</v>
      </c>
      <c r="M253" s="453">
        <v>5.738084220268394E-2</v>
      </c>
      <c r="N253" s="298">
        <v>11926.449398119843</v>
      </c>
    </row>
    <row r="254" spans="8:15">
      <c r="K254" t="s">
        <v>1232</v>
      </c>
      <c r="L254">
        <v>206.5</v>
      </c>
      <c r="M254" s="453">
        <v>0.19111522443313281</v>
      </c>
      <c r="N254" s="298">
        <v>22355.326481498469</v>
      </c>
    </row>
    <row r="255" spans="8:15">
      <c r="K255" t="s">
        <v>1229</v>
      </c>
      <c r="L255">
        <v>176.5</v>
      </c>
      <c r="M255" s="453">
        <v>0.16335030078667284</v>
      </c>
      <c r="N255" s="298">
        <v>19107.57929290305</v>
      </c>
    </row>
    <row r="256" spans="8:15">
      <c r="K256" t="s">
        <v>1309</v>
      </c>
      <c r="L256">
        <v>30</v>
      </c>
      <c r="M256" s="453">
        <v>2.7764923646459973E-2</v>
      </c>
      <c r="N256" s="298">
        <v>3247.7471885954192</v>
      </c>
    </row>
    <row r="259" spans="1:14">
      <c r="L259">
        <v>1080.5</v>
      </c>
      <c r="M259" s="453">
        <v>1</v>
      </c>
      <c r="N259" s="298">
        <v>136810.5589581813</v>
      </c>
    </row>
    <row r="261" spans="1:14" s="433" customFormat="1"/>
    <row r="262" spans="1:14">
      <c r="H262" s="604" t="s">
        <v>828</v>
      </c>
      <c r="I262" s="604"/>
      <c r="J262" s="604"/>
    </row>
    <row r="264" spans="1:14">
      <c r="K264" t="s">
        <v>241</v>
      </c>
    </row>
    <row r="265" spans="1:14">
      <c r="L265" t="s">
        <v>20</v>
      </c>
      <c r="M265" t="s">
        <v>1223</v>
      </c>
      <c r="N265" t="s">
        <v>1224</v>
      </c>
    </row>
    <row r="266" spans="1:14">
      <c r="K266" t="s">
        <v>1238</v>
      </c>
      <c r="L266">
        <v>1</v>
      </c>
      <c r="M266" s="453">
        <v>0.5</v>
      </c>
      <c r="N266" s="298">
        <v>12500</v>
      </c>
    </row>
    <row r="267" spans="1:14">
      <c r="K267" t="s">
        <v>1237</v>
      </c>
      <c r="L267">
        <v>1</v>
      </c>
      <c r="M267" s="453">
        <v>0.5</v>
      </c>
      <c r="N267" s="298">
        <v>12500</v>
      </c>
    </row>
    <row r="269" spans="1:14" s="433" customFormat="1"/>
    <row r="270" spans="1:14">
      <c r="H270" s="604" t="s">
        <v>828</v>
      </c>
      <c r="I270" s="604"/>
      <c r="J270" s="604"/>
    </row>
    <row r="272" spans="1:14">
      <c r="A272" s="452" t="s">
        <v>1317</v>
      </c>
      <c r="B272" s="452"/>
      <c r="C272" s="452"/>
      <c r="D272" s="452"/>
    </row>
    <row r="273" spans="1:10">
      <c r="A273" s="452" t="s">
        <v>1331</v>
      </c>
      <c r="B273" s="452"/>
      <c r="C273" s="452"/>
      <c r="D273" s="452"/>
    </row>
    <row r="274" spans="1:10">
      <c r="A274" s="452" t="s">
        <v>17</v>
      </c>
      <c r="B274" t="s">
        <v>1320</v>
      </c>
      <c r="C274" s="452"/>
      <c r="D274" s="452"/>
      <c r="E274" s="452"/>
    </row>
    <row r="275" spans="1:10">
      <c r="A275" s="452" t="s">
        <v>1321</v>
      </c>
      <c r="B275" s="452" t="s">
        <v>1248</v>
      </c>
      <c r="C275" s="452" t="s">
        <v>1322</v>
      </c>
      <c r="D275" s="452" t="s">
        <v>1323</v>
      </c>
    </row>
    <row r="276" spans="1:10">
      <c r="A276">
        <v>45</v>
      </c>
      <c r="B276" s="470">
        <v>45459</v>
      </c>
      <c r="C276" s="471">
        <v>1000</v>
      </c>
    </row>
    <row r="277" spans="1:10">
      <c r="B277" s="470"/>
      <c r="C277" s="471"/>
    </row>
    <row r="278" spans="1:10">
      <c r="B278" s="470"/>
      <c r="C278" s="471"/>
    </row>
    <row r="279" spans="1:10">
      <c r="B279" s="470"/>
      <c r="C279" s="471"/>
    </row>
    <row r="281" spans="1:10">
      <c r="A281" t="s">
        <v>1324</v>
      </c>
      <c r="C281" s="472">
        <v>0.14099999999999999</v>
      </c>
    </row>
    <row r="282" spans="1:10">
      <c r="A282" t="s">
        <v>1326</v>
      </c>
      <c r="C282" s="472">
        <v>0.10199999999999999</v>
      </c>
    </row>
    <row r="283" spans="1:10">
      <c r="C283" s="471">
        <f>SUM(C276:C279)</f>
        <v>1000</v>
      </c>
      <c r="D283" s="471">
        <f>C283+(C283*C281)+(C283*C282)</f>
        <v>1243</v>
      </c>
    </row>
    <row r="284" spans="1:10" ht="16" thickBot="1">
      <c r="A284" t="s">
        <v>1328</v>
      </c>
      <c r="C284" s="475">
        <f>C283</f>
        <v>1000</v>
      </c>
      <c r="D284" s="473">
        <f>D283</f>
        <v>1243</v>
      </c>
    </row>
    <row r="285" spans="1:10" ht="16" thickTop="1"/>
    <row r="286" spans="1:10" s="433" customFormat="1"/>
    <row r="287" spans="1:10">
      <c r="H287" s="604" t="s">
        <v>828</v>
      </c>
      <c r="I287" s="604"/>
      <c r="J287" s="604"/>
    </row>
    <row r="290" spans="1:12">
      <c r="A290" s="452" t="s">
        <v>1317</v>
      </c>
      <c r="B290" s="452" t="s">
        <v>1332</v>
      </c>
      <c r="C290" s="452"/>
      <c r="D290" s="452"/>
    </row>
    <row r="291" spans="1:12">
      <c r="A291" s="452" t="s">
        <v>17</v>
      </c>
      <c r="B291" t="s">
        <v>1320</v>
      </c>
      <c r="C291" s="452"/>
      <c r="D291" s="452"/>
    </row>
    <row r="292" spans="1:12">
      <c r="K292" s="341" t="s">
        <v>12</v>
      </c>
      <c r="L292" s="341" t="s">
        <v>1318</v>
      </c>
    </row>
    <row r="293" spans="1:12">
      <c r="A293" t="s">
        <v>1333</v>
      </c>
      <c r="B293" s="452" t="s">
        <v>1321</v>
      </c>
      <c r="C293" s="452" t="s">
        <v>816</v>
      </c>
      <c r="D293" s="452" t="s">
        <v>1322</v>
      </c>
      <c r="E293" s="452" t="s">
        <v>1334</v>
      </c>
      <c r="K293" s="341">
        <v>40</v>
      </c>
      <c r="L293" s="341">
        <v>700</v>
      </c>
    </row>
    <row r="294" spans="1:12">
      <c r="A294" t="s">
        <v>1335</v>
      </c>
      <c r="B294">
        <v>40</v>
      </c>
      <c r="C294" s="470">
        <v>45465</v>
      </c>
      <c r="D294" s="452">
        <v>700</v>
      </c>
      <c r="E294" s="331">
        <f>D294*($D$300+$D$301)</f>
        <v>170.1</v>
      </c>
      <c r="K294" s="341">
        <v>45</v>
      </c>
      <c r="L294" s="341">
        <v>1000</v>
      </c>
    </row>
    <row r="295" spans="1:12">
      <c r="A295" t="s">
        <v>1336</v>
      </c>
      <c r="B295">
        <v>40</v>
      </c>
      <c r="C295" s="470">
        <v>45465</v>
      </c>
      <c r="D295" s="489">
        <v>700</v>
      </c>
      <c r="E295" s="331">
        <f t="shared" ref="E295:E296" si="0">D295*($D$300+$D$301)</f>
        <v>170.1</v>
      </c>
      <c r="K295" s="341">
        <v>50</v>
      </c>
      <c r="L295" s="341">
        <v>1300</v>
      </c>
    </row>
    <row r="296" spans="1:12">
      <c r="A296" t="s">
        <v>1337</v>
      </c>
      <c r="B296">
        <v>40</v>
      </c>
      <c r="C296" s="470">
        <v>45465</v>
      </c>
      <c r="D296" s="452">
        <v>700</v>
      </c>
      <c r="E296" s="331">
        <f t="shared" si="0"/>
        <v>170.1</v>
      </c>
      <c r="K296" s="341">
        <v>55</v>
      </c>
      <c r="L296" s="341">
        <v>1600</v>
      </c>
    </row>
    <row r="297" spans="1:12">
      <c r="B297" s="470"/>
      <c r="C297" s="471"/>
      <c r="K297" s="341">
        <v>60</v>
      </c>
      <c r="L297" s="341">
        <v>1900</v>
      </c>
    </row>
    <row r="298" spans="1:12">
      <c r="B298" s="470"/>
      <c r="C298" s="471"/>
      <c r="K298" s="341">
        <v>65</v>
      </c>
      <c r="L298" s="341">
        <v>2200</v>
      </c>
    </row>
    <row r="299" spans="1:12">
      <c r="K299" s="341">
        <v>70</v>
      </c>
      <c r="L299" s="341">
        <v>2500</v>
      </c>
    </row>
    <row r="300" spans="1:12">
      <c r="B300" t="s">
        <v>1324</v>
      </c>
      <c r="D300" s="472">
        <v>0.14099999999999999</v>
      </c>
      <c r="K300" s="341">
        <v>75</v>
      </c>
      <c r="L300" s="341">
        <v>2800</v>
      </c>
    </row>
    <row r="301" spans="1:12">
      <c r="B301" t="s">
        <v>1326</v>
      </c>
      <c r="D301" s="472">
        <v>0.10199999999999999</v>
      </c>
      <c r="K301" s="341"/>
      <c r="L301" s="341" t="s">
        <v>1325</v>
      </c>
    </row>
    <row r="302" spans="1:12">
      <c r="D302" s="471">
        <f>SUM(D294:D298)</f>
        <v>2100</v>
      </c>
      <c r="E302" s="471">
        <f>D302+(D302*D300)+(D302*D301)</f>
        <v>2610.2999999999997</v>
      </c>
      <c r="K302" s="341"/>
      <c r="L302" s="474" t="s">
        <v>1327</v>
      </c>
    </row>
    <row r="303" spans="1:12" ht="16" thickBot="1">
      <c r="B303" t="s">
        <v>1328</v>
      </c>
      <c r="D303" s="486">
        <f>D302</f>
        <v>2100</v>
      </c>
      <c r="E303" s="473">
        <f>E302</f>
        <v>2610.2999999999997</v>
      </c>
    </row>
    <row r="304" spans="1:12" ht="16" thickTop="1"/>
    <row r="305" spans="1:10" s="433" customFormat="1"/>
    <row r="306" spans="1:10">
      <c r="H306" s="604" t="s">
        <v>828</v>
      </c>
      <c r="I306" s="604"/>
      <c r="J306" s="604"/>
    </row>
    <row r="308" spans="1:10">
      <c r="A308" s="452" t="s">
        <v>1317</v>
      </c>
      <c r="B308" s="452" t="s">
        <v>1338</v>
      </c>
      <c r="C308" s="452"/>
      <c r="D308" s="452"/>
    </row>
    <row r="309" spans="1:10">
      <c r="A309" s="452" t="s">
        <v>17</v>
      </c>
      <c r="B309" t="s">
        <v>1320</v>
      </c>
      <c r="C309" s="452"/>
      <c r="D309" s="452"/>
    </row>
    <row r="311" spans="1:10">
      <c r="A311" t="s">
        <v>1333</v>
      </c>
      <c r="B311" s="452" t="s">
        <v>1321</v>
      </c>
      <c r="C311" s="487" t="s">
        <v>816</v>
      </c>
      <c r="D311" s="487" t="s">
        <v>1322</v>
      </c>
      <c r="E311" s="487" t="s">
        <v>1334</v>
      </c>
      <c r="F311" s="487" t="s">
        <v>1339</v>
      </c>
    </row>
    <row r="312" spans="1:10">
      <c r="A312" t="s">
        <v>1340</v>
      </c>
      <c r="B312">
        <v>60</v>
      </c>
      <c r="C312" s="470">
        <v>45470</v>
      </c>
      <c r="D312" s="490">
        <v>1900</v>
      </c>
      <c r="E312" s="331">
        <f t="shared" ref="E312:E321" si="1">D312*($D$324+$D$325)</f>
        <v>461.7</v>
      </c>
      <c r="F312" s="298">
        <f t="shared" ref="F312:F321" si="2">D312+E312</f>
        <v>2361.6999999999998</v>
      </c>
    </row>
    <row r="313" spans="1:10">
      <c r="A313" t="s">
        <v>1340</v>
      </c>
      <c r="B313">
        <v>46</v>
      </c>
      <c r="C313" s="470">
        <v>45469</v>
      </c>
      <c r="D313" s="490">
        <v>1000</v>
      </c>
      <c r="E313" s="331">
        <f t="shared" si="1"/>
        <v>243</v>
      </c>
      <c r="F313" s="298">
        <f t="shared" si="2"/>
        <v>1243</v>
      </c>
    </row>
    <row r="314" spans="1:10">
      <c r="A314" t="s">
        <v>1340</v>
      </c>
      <c r="B314">
        <v>60</v>
      </c>
      <c r="C314" s="470">
        <v>45468</v>
      </c>
      <c r="D314" s="490">
        <v>1900</v>
      </c>
      <c r="E314" s="331">
        <f t="shared" si="1"/>
        <v>461.7</v>
      </c>
      <c r="F314" s="298">
        <f t="shared" si="2"/>
        <v>2361.6999999999998</v>
      </c>
    </row>
    <row r="315" spans="1:10">
      <c r="A315" t="s">
        <v>1340</v>
      </c>
      <c r="B315">
        <v>50</v>
      </c>
      <c r="C315" s="470">
        <v>45463</v>
      </c>
      <c r="D315" s="490">
        <v>1300</v>
      </c>
      <c r="E315" s="331">
        <f t="shared" si="1"/>
        <v>315.89999999999998</v>
      </c>
      <c r="F315" s="298">
        <f t="shared" si="2"/>
        <v>1615.9</v>
      </c>
    </row>
    <row r="316" spans="1:10">
      <c r="A316" t="s">
        <v>1340</v>
      </c>
      <c r="B316">
        <v>60</v>
      </c>
      <c r="C316" s="470">
        <v>45461</v>
      </c>
      <c r="D316" s="490">
        <v>1900</v>
      </c>
      <c r="E316" s="331">
        <f t="shared" si="1"/>
        <v>461.7</v>
      </c>
      <c r="F316" s="298">
        <f t="shared" si="2"/>
        <v>2361.6999999999998</v>
      </c>
    </row>
    <row r="317" spans="1:10">
      <c r="A317" t="s">
        <v>1340</v>
      </c>
      <c r="B317">
        <v>60</v>
      </c>
      <c r="C317" s="470">
        <v>45456</v>
      </c>
      <c r="D317" s="490">
        <v>1900</v>
      </c>
      <c r="E317" s="331">
        <f t="shared" si="1"/>
        <v>461.7</v>
      </c>
      <c r="F317" s="298">
        <f t="shared" si="2"/>
        <v>2361.6999999999998</v>
      </c>
    </row>
    <row r="318" spans="1:10">
      <c r="A318" t="s">
        <v>1341</v>
      </c>
      <c r="B318">
        <v>50</v>
      </c>
      <c r="C318" s="470">
        <v>45463</v>
      </c>
      <c r="D318" s="490">
        <v>1300</v>
      </c>
      <c r="E318" s="331">
        <f t="shared" si="1"/>
        <v>315.89999999999998</v>
      </c>
      <c r="F318" s="298">
        <f t="shared" si="2"/>
        <v>1615.9</v>
      </c>
    </row>
    <row r="319" spans="1:10">
      <c r="A319" t="s">
        <v>1342</v>
      </c>
      <c r="B319">
        <v>60</v>
      </c>
      <c r="C319" s="470">
        <v>45468</v>
      </c>
      <c r="D319" s="490">
        <v>1900</v>
      </c>
      <c r="E319" s="331">
        <f t="shared" si="1"/>
        <v>461.7</v>
      </c>
      <c r="F319" s="298">
        <f t="shared" si="2"/>
        <v>2361.6999999999998</v>
      </c>
    </row>
    <row r="320" spans="1:10">
      <c r="A320" t="s">
        <v>1342</v>
      </c>
      <c r="B320">
        <v>46</v>
      </c>
      <c r="C320" s="470">
        <v>45469</v>
      </c>
      <c r="D320" s="490">
        <v>1000</v>
      </c>
      <c r="E320" s="331">
        <f t="shared" si="1"/>
        <v>243</v>
      </c>
      <c r="F320" s="298">
        <f t="shared" si="2"/>
        <v>1243</v>
      </c>
    </row>
    <row r="321" spans="1:15">
      <c r="A321" t="s">
        <v>1342</v>
      </c>
      <c r="B321">
        <v>60</v>
      </c>
      <c r="C321" s="470">
        <v>45470</v>
      </c>
      <c r="D321" s="490">
        <v>1900</v>
      </c>
      <c r="E321" s="331">
        <f t="shared" si="1"/>
        <v>461.7</v>
      </c>
      <c r="F321" s="298">
        <f t="shared" si="2"/>
        <v>2361.6999999999998</v>
      </c>
    </row>
    <row r="322" spans="1:15">
      <c r="C322" s="470"/>
      <c r="D322" s="488"/>
      <c r="F322" s="298"/>
    </row>
    <row r="324" spans="1:15">
      <c r="B324" t="s">
        <v>1324</v>
      </c>
      <c r="D324" s="472">
        <v>0.14099999999999999</v>
      </c>
    </row>
    <row r="325" spans="1:15">
      <c r="B325" t="s">
        <v>1326</v>
      </c>
      <c r="D325" s="472">
        <v>0.10199999999999999</v>
      </c>
    </row>
    <row r="326" spans="1:15">
      <c r="D326" s="471">
        <f>SUM(D312:D322)</f>
        <v>16000</v>
      </c>
      <c r="E326" s="471">
        <f>D326+(D326*D324)+(D326*D325)</f>
        <v>19888</v>
      </c>
    </row>
    <row r="327" spans="1:15" ht="16" thickBot="1">
      <c r="B327" t="s">
        <v>1328</v>
      </c>
      <c r="D327" s="486">
        <f>D326</f>
        <v>16000</v>
      </c>
      <c r="E327" s="473">
        <f>E326</f>
        <v>19888</v>
      </c>
    </row>
    <row r="328" spans="1:15" ht="16" thickTop="1"/>
    <row r="329" spans="1:15" s="433" customFormat="1"/>
    <row r="330" spans="1:15">
      <c r="H330" s="604" t="s">
        <v>828</v>
      </c>
      <c r="I330" s="604"/>
      <c r="J330" s="604"/>
    </row>
    <row r="332" spans="1:15">
      <c r="K332" t="s">
        <v>1230</v>
      </c>
    </row>
    <row r="333" spans="1:15">
      <c r="L333" t="s">
        <v>20</v>
      </c>
      <c r="M333" t="s">
        <v>1223</v>
      </c>
      <c r="N333" t="s">
        <v>1224</v>
      </c>
    </row>
    <row r="334" spans="1:15">
      <c r="K334" t="s">
        <v>1227</v>
      </c>
      <c r="L334">
        <v>26.5</v>
      </c>
      <c r="M334" s="453">
        <v>2.1946169772256729E-2</v>
      </c>
      <c r="N334" s="298">
        <v>9616.4000285385882</v>
      </c>
      <c r="O334" t="s">
        <v>1228</v>
      </c>
    </row>
    <row r="335" spans="1:15">
      <c r="K335" t="s">
        <v>1231</v>
      </c>
      <c r="L335">
        <v>182</v>
      </c>
      <c r="M335" s="453">
        <v>0.15072463768115943</v>
      </c>
      <c r="N335" s="298">
        <v>14026.782502018876</v>
      </c>
      <c r="O335" t="s">
        <v>1226</v>
      </c>
    </row>
    <row r="336" spans="1:15">
      <c r="K336" t="s">
        <v>1296</v>
      </c>
      <c r="L336">
        <v>97</v>
      </c>
      <c r="M336" s="453">
        <v>8.0331262939958598E-2</v>
      </c>
      <c r="N336" s="298">
        <v>5608.1816016143821</v>
      </c>
    </row>
    <row r="337" spans="8:14">
      <c r="K337" t="s">
        <v>1297</v>
      </c>
      <c r="L337">
        <v>74</v>
      </c>
      <c r="M337" s="453">
        <v>6.1283643892339541E-2</v>
      </c>
      <c r="N337" s="298">
        <v>4304.7525162373176</v>
      </c>
    </row>
    <row r="338" spans="8:14">
      <c r="K338" t="s">
        <v>1241</v>
      </c>
      <c r="L338">
        <v>114</v>
      </c>
      <c r="M338" s="453">
        <v>9.4409937888198764E-2</v>
      </c>
      <c r="N338" s="298">
        <v>6571.5857081974291</v>
      </c>
    </row>
    <row r="339" spans="8:14">
      <c r="K339" t="s">
        <v>1293</v>
      </c>
      <c r="L339">
        <v>87</v>
      </c>
      <c r="M339" s="453">
        <v>7.2049689440993783E-2</v>
      </c>
      <c r="N339" s="298">
        <v>3930.362192513242</v>
      </c>
    </row>
    <row r="340" spans="8:14">
      <c r="K340" t="s">
        <v>1254</v>
      </c>
      <c r="L340">
        <v>3</v>
      </c>
      <c r="M340" s="453">
        <v>2.4844720496894411E-3</v>
      </c>
      <c r="N340" s="298">
        <v>170.01248939700838</v>
      </c>
    </row>
    <row r="341" spans="8:14">
      <c r="K341" t="s">
        <v>1299</v>
      </c>
      <c r="L341">
        <v>135</v>
      </c>
      <c r="M341" s="453">
        <v>0.11180124223602485</v>
      </c>
      <c r="N341" s="298">
        <v>7761.6731339764874</v>
      </c>
    </row>
    <row r="342" spans="8:14">
      <c r="K342" t="s">
        <v>1232</v>
      </c>
      <c r="L342">
        <v>186.5</v>
      </c>
      <c r="M342" s="453">
        <v>0.15445134575569358</v>
      </c>
      <c r="N342" s="298">
        <v>10680.220868625131</v>
      </c>
    </row>
    <row r="343" spans="8:14">
      <c r="K343" t="s">
        <v>1229</v>
      </c>
      <c r="L343">
        <v>184.5</v>
      </c>
      <c r="M343" s="453">
        <v>0.15279503105590062</v>
      </c>
      <c r="N343" s="298">
        <v>10566.879209027125</v>
      </c>
    </row>
    <row r="344" spans="8:14">
      <c r="K344" t="s">
        <v>1260</v>
      </c>
      <c r="L344">
        <v>115</v>
      </c>
      <c r="M344" s="453">
        <v>9.5238095238095233E-2</v>
      </c>
      <c r="N344" s="298">
        <v>6628.2565379964317</v>
      </c>
    </row>
    <row r="345" spans="8:14">
      <c r="K345" t="s">
        <v>1343</v>
      </c>
      <c r="L345">
        <v>3</v>
      </c>
      <c r="M345" s="453">
        <v>2.4844720496894411E-3</v>
      </c>
      <c r="N345" s="298">
        <v>170.01248939700838</v>
      </c>
    </row>
    <row r="347" spans="8:14">
      <c r="L347">
        <v>1207.5</v>
      </c>
      <c r="M347" s="453">
        <v>1</v>
      </c>
      <c r="N347" s="298">
        <v>80035.119277539037</v>
      </c>
    </row>
    <row r="349" spans="8:14" s="494" customFormat="1"/>
    <row r="350" spans="8:14">
      <c r="H350" s="604" t="s">
        <v>955</v>
      </c>
      <c r="I350" s="604"/>
      <c r="J350" s="604"/>
    </row>
    <row r="352" spans="8:14">
      <c r="K352" t="s">
        <v>341</v>
      </c>
    </row>
    <row r="353" spans="11:15">
      <c r="L353" t="s">
        <v>20</v>
      </c>
      <c r="M353" t="s">
        <v>1223</v>
      </c>
      <c r="N353" t="s">
        <v>1224</v>
      </c>
    </row>
    <row r="354" spans="11:15">
      <c r="K354" t="s">
        <v>1344</v>
      </c>
      <c r="L354">
        <v>94</v>
      </c>
      <c r="M354" s="453">
        <v>0.17769376181474481</v>
      </c>
      <c r="N354" s="298">
        <v>7231.990074823575</v>
      </c>
    </row>
    <row r="355" spans="11:15">
      <c r="K355" t="s">
        <v>1227</v>
      </c>
      <c r="L355">
        <v>37.5</v>
      </c>
      <c r="M355" s="453">
        <v>7.0888468809073721E-2</v>
      </c>
      <c r="N355" s="298">
        <v>7645.2402231205415</v>
      </c>
      <c r="O355" t="s">
        <v>1228</v>
      </c>
    </row>
    <row r="356" spans="11:15">
      <c r="K356" t="s">
        <v>1231</v>
      </c>
      <c r="L356">
        <v>46.5</v>
      </c>
      <c r="M356" s="453">
        <v>8.7901701323251424E-2</v>
      </c>
      <c r="N356" s="298">
        <v>3577.5270050988966</v>
      </c>
    </row>
    <row r="357" spans="11:15">
      <c r="K357" t="s">
        <v>1241</v>
      </c>
      <c r="L357">
        <v>16.5</v>
      </c>
      <c r="M357" s="453">
        <v>3.1190926275992438E-2</v>
      </c>
      <c r="N357" s="298">
        <v>1269.4450663254147</v>
      </c>
    </row>
    <row r="358" spans="11:15">
      <c r="K358" t="s">
        <v>1293</v>
      </c>
      <c r="L358">
        <v>18.5</v>
      </c>
      <c r="M358" s="453">
        <v>3.4971644612476371E-2</v>
      </c>
      <c r="N358" s="298">
        <v>1423.3171955769801</v>
      </c>
    </row>
    <row r="359" spans="11:15">
      <c r="K359" t="s">
        <v>1254</v>
      </c>
      <c r="L359">
        <v>116.5</v>
      </c>
      <c r="M359" s="453">
        <v>0.22022684310018903</v>
      </c>
      <c r="N359" s="298">
        <v>11105.113538747848</v>
      </c>
      <c r="O359" t="s">
        <v>1226</v>
      </c>
    </row>
    <row r="360" spans="11:15">
      <c r="K360" t="s">
        <v>1232</v>
      </c>
      <c r="L360">
        <v>46.5</v>
      </c>
      <c r="M360" s="453">
        <v>8.7901701323251424E-2</v>
      </c>
      <c r="N360" s="298">
        <v>3577.5270050988966</v>
      </c>
    </row>
    <row r="361" spans="11:15">
      <c r="K361" t="s">
        <v>1229</v>
      </c>
      <c r="L361">
        <v>46.5</v>
      </c>
      <c r="M361" s="453">
        <v>8.7901701323251424E-2</v>
      </c>
      <c r="N361" s="298">
        <v>3577.5270050988966</v>
      </c>
    </row>
    <row r="362" spans="11:15">
      <c r="K362" t="s">
        <v>1309</v>
      </c>
      <c r="L362">
        <v>106.5</v>
      </c>
      <c r="M362" s="453">
        <v>0.20132325141776938</v>
      </c>
      <c r="N362" s="298">
        <v>8193.6908826458584</v>
      </c>
    </row>
    <row r="363" spans="11:15">
      <c r="M363" s="453"/>
      <c r="N363" s="298"/>
    </row>
    <row r="364" spans="11:15">
      <c r="M364" s="453"/>
      <c r="N364" s="298"/>
    </row>
    <row r="365" spans="11:15">
      <c r="M365" s="453"/>
      <c r="N365" s="298"/>
    </row>
    <row r="367" spans="11:15">
      <c r="L367">
        <v>529</v>
      </c>
      <c r="M367" s="453">
        <v>1.0000000000000002</v>
      </c>
      <c r="N367" s="298">
        <v>47601.37799653691</v>
      </c>
    </row>
    <row r="368" spans="11:15" s="433" customFormat="1"/>
    <row r="369" spans="1:10">
      <c r="H369" s="604" t="s">
        <v>955</v>
      </c>
      <c r="I369" s="604"/>
      <c r="J369" s="604"/>
    </row>
    <row r="371" spans="1:10">
      <c r="A371" s="452" t="s">
        <v>1317</v>
      </c>
      <c r="B371" s="452" t="s">
        <v>1345</v>
      </c>
      <c r="C371" s="452"/>
      <c r="D371" s="452"/>
    </row>
    <row r="372" spans="1:10">
      <c r="A372" s="452" t="s">
        <v>17</v>
      </c>
      <c r="B372" t="s">
        <v>1320</v>
      </c>
      <c r="C372" s="452"/>
      <c r="D372" s="452"/>
    </row>
    <row r="374" spans="1:10">
      <c r="A374" t="s">
        <v>1333</v>
      </c>
      <c r="B374" s="452" t="s">
        <v>1321</v>
      </c>
      <c r="C374" s="487" t="s">
        <v>816</v>
      </c>
      <c r="D374" s="487" t="s">
        <v>1322</v>
      </c>
      <c r="E374" s="487" t="s">
        <v>1334</v>
      </c>
      <c r="F374" s="487" t="s">
        <v>1339</v>
      </c>
    </row>
    <row r="375" spans="1:10">
      <c r="A375" t="s">
        <v>1346</v>
      </c>
      <c r="B375">
        <v>60</v>
      </c>
      <c r="C375" s="470">
        <v>45456</v>
      </c>
      <c r="D375" s="490">
        <v>1900</v>
      </c>
      <c r="E375" s="331">
        <f t="shared" ref="E375" si="3">D375*($D$324+$D$325)</f>
        <v>461.7</v>
      </c>
      <c r="F375" s="298">
        <f t="shared" ref="F375" si="4">D375+E375</f>
        <v>2361.6999999999998</v>
      </c>
    </row>
    <row r="376" spans="1:10">
      <c r="C376" s="470"/>
      <c r="D376" s="488"/>
      <c r="F376" s="298"/>
    </row>
    <row r="378" spans="1:10">
      <c r="B378" t="s">
        <v>1324</v>
      </c>
      <c r="D378" s="472">
        <v>0.14099999999999999</v>
      </c>
    </row>
    <row r="379" spans="1:10">
      <c r="B379" t="s">
        <v>1326</v>
      </c>
      <c r="D379" s="472">
        <v>0.10199999999999999</v>
      </c>
    </row>
    <row r="380" spans="1:10">
      <c r="D380" s="471">
        <f>SUM(D375:D376)</f>
        <v>1900</v>
      </c>
      <c r="E380" s="471">
        <f>D380+(D380*D378)+(D380*D379)</f>
        <v>2361.7000000000003</v>
      </c>
    </row>
    <row r="381" spans="1:10" ht="16" thickBot="1">
      <c r="B381" t="s">
        <v>1328</v>
      </c>
      <c r="D381" s="495">
        <f>D380</f>
        <v>1900</v>
      </c>
      <c r="E381" s="473">
        <f>E380</f>
        <v>2361.7000000000003</v>
      </c>
    </row>
    <row r="382" spans="1:10" ht="16" thickTop="1"/>
    <row r="383" spans="1:10" s="433" customFormat="1"/>
    <row r="384" spans="1:10">
      <c r="H384" s="604" t="s">
        <v>955</v>
      </c>
      <c r="I384" s="604"/>
      <c r="J384" s="604"/>
    </row>
    <row r="387" spans="8:15">
      <c r="K387" t="s">
        <v>1230</v>
      </c>
    </row>
    <row r="388" spans="8:15">
      <c r="L388" t="s">
        <v>20</v>
      </c>
      <c r="M388" t="s">
        <v>1223</v>
      </c>
      <c r="N388" t="s">
        <v>1224</v>
      </c>
    </row>
    <row r="389" spans="8:15">
      <c r="K389" t="s">
        <v>1227</v>
      </c>
      <c r="L389">
        <v>34</v>
      </c>
      <c r="M389" s="453">
        <v>5.362776025236593E-2</v>
      </c>
      <c r="N389" s="298">
        <v>10958.873430160531</v>
      </c>
      <c r="O389" t="s">
        <v>1228</v>
      </c>
    </row>
    <row r="390" spans="8:15">
      <c r="K390" t="s">
        <v>1231</v>
      </c>
      <c r="L390">
        <v>185</v>
      </c>
      <c r="M390" s="453">
        <v>0.29179810725552052</v>
      </c>
      <c r="N390" s="298">
        <v>22126.921853337535</v>
      </c>
      <c r="O390" t="s">
        <v>1226</v>
      </c>
    </row>
    <row r="391" spans="8:15">
      <c r="K391" t="s">
        <v>1241</v>
      </c>
      <c r="L391">
        <v>7</v>
      </c>
      <c r="M391" s="453">
        <v>1.1041009463722398E-2</v>
      </c>
      <c r="N391" s="298">
        <v>709.29877235331219</v>
      </c>
    </row>
    <row r="392" spans="8:15">
      <c r="K392" t="s">
        <v>1293</v>
      </c>
      <c r="L392">
        <v>7</v>
      </c>
      <c r="M392" s="453">
        <v>1.1041009463722398E-2</v>
      </c>
      <c r="N392" s="298">
        <v>709.29877235331219</v>
      </c>
    </row>
    <row r="393" spans="8:15">
      <c r="K393" t="s">
        <v>1299</v>
      </c>
      <c r="L393">
        <v>52</v>
      </c>
      <c r="M393" s="453">
        <v>8.2018927444794956E-2</v>
      </c>
      <c r="N393" s="298">
        <v>5269.0765946246047</v>
      </c>
    </row>
    <row r="394" spans="8:15">
      <c r="K394" t="s">
        <v>1232</v>
      </c>
      <c r="L394">
        <v>185</v>
      </c>
      <c r="M394" s="453">
        <v>0.29179810725552052</v>
      </c>
      <c r="N394" s="298">
        <v>18745.753269337536</v>
      </c>
    </row>
    <row r="395" spans="8:15">
      <c r="K395" t="s">
        <v>1229</v>
      </c>
      <c r="L395">
        <v>164</v>
      </c>
      <c r="M395" s="453">
        <v>0.25867507886435331</v>
      </c>
      <c r="N395" s="298">
        <v>16617.856952277598</v>
      </c>
    </row>
    <row r="396" spans="8:15">
      <c r="M396" s="453"/>
      <c r="N396" s="298"/>
    </row>
    <row r="397" spans="8:15">
      <c r="L397">
        <v>634</v>
      </c>
      <c r="M397" s="453">
        <v>1</v>
      </c>
      <c r="N397" s="298">
        <v>75137.079644444428</v>
      </c>
    </row>
    <row r="398" spans="8:15" s="433" customFormat="1"/>
    <row r="399" spans="8:15">
      <c r="H399" s="604" t="s">
        <v>158</v>
      </c>
      <c r="I399" s="604"/>
      <c r="J399" s="604"/>
    </row>
    <row r="401" spans="8:16">
      <c r="K401" t="s">
        <v>1230</v>
      </c>
    </row>
    <row r="402" spans="8:16">
      <c r="L402" t="s">
        <v>20</v>
      </c>
      <c r="M402" t="s">
        <v>1223</v>
      </c>
      <c r="N402" t="s">
        <v>1224</v>
      </c>
    </row>
    <row r="403" spans="8:16">
      <c r="K403" t="s">
        <v>1227</v>
      </c>
      <c r="L403">
        <v>167</v>
      </c>
      <c r="M403" s="453">
        <v>0.34432989690721649</v>
      </c>
      <c r="N403" s="298">
        <v>30342.677946208467</v>
      </c>
      <c r="O403" t="s">
        <v>1228</v>
      </c>
    </row>
    <row r="404" spans="8:16">
      <c r="K404" t="s">
        <v>1299</v>
      </c>
      <c r="L404">
        <v>137</v>
      </c>
      <c r="M404" s="453">
        <v>0.28247422680412371</v>
      </c>
      <c r="N404" s="298">
        <v>18819.176009896903</v>
      </c>
    </row>
    <row r="405" spans="8:16">
      <c r="K405" t="s">
        <v>1231</v>
      </c>
      <c r="L405">
        <v>30</v>
      </c>
      <c r="M405" s="453">
        <v>6.1855670103092786E-2</v>
      </c>
      <c r="N405" s="298">
        <v>4120.987447422679</v>
      </c>
    </row>
    <row r="406" spans="8:16">
      <c r="K406" t="s">
        <v>1347</v>
      </c>
      <c r="M406" s="453"/>
      <c r="N406" s="298"/>
      <c r="P406" s="298"/>
    </row>
    <row r="407" spans="8:16">
      <c r="K407" t="s">
        <v>1348</v>
      </c>
      <c r="L407">
        <v>40.5</v>
      </c>
      <c r="M407" s="453">
        <v>8.3505154639175252E-2</v>
      </c>
      <c r="N407" s="298">
        <v>4172.4997905154623</v>
      </c>
    </row>
    <row r="408" spans="8:16">
      <c r="K408" t="s">
        <v>1349</v>
      </c>
      <c r="L408">
        <v>70</v>
      </c>
      <c r="M408" s="453">
        <v>0.14432989690721648</v>
      </c>
      <c r="N408" s="298">
        <v>7211.7280329896885</v>
      </c>
      <c r="P408" t="s">
        <v>1350</v>
      </c>
    </row>
    <row r="409" spans="8:16">
      <c r="K409" t="s">
        <v>1351</v>
      </c>
      <c r="L409">
        <v>40.5</v>
      </c>
      <c r="M409" s="453">
        <v>8.3505154639175252E-2</v>
      </c>
      <c r="N409" s="298">
        <v>4172.4997905154623</v>
      </c>
      <c r="O409" s="298">
        <v>15556.727614020612</v>
      </c>
      <c r="P409" s="298">
        <v>19337.012424227622</v>
      </c>
    </row>
    <row r="410" spans="8:16">
      <c r="M410" s="453"/>
      <c r="N410" s="298">
        <v>0</v>
      </c>
    </row>
    <row r="411" spans="8:16">
      <c r="M411" s="453"/>
      <c r="N411" s="298"/>
    </row>
    <row r="412" spans="8:16">
      <c r="L412">
        <v>485</v>
      </c>
      <c r="M412" s="453">
        <v>1</v>
      </c>
      <c r="N412" s="298">
        <v>75137.079644444428</v>
      </c>
    </row>
    <row r="414" spans="8:16" s="433" customFormat="1"/>
    <row r="415" spans="8:16">
      <c r="H415" s="604" t="s">
        <v>155</v>
      </c>
      <c r="I415" s="604"/>
      <c r="J415" s="604"/>
    </row>
    <row r="419" spans="1:15">
      <c r="K419" t="s">
        <v>342</v>
      </c>
    </row>
    <row r="420" spans="1:15">
      <c r="L420" t="s">
        <v>20</v>
      </c>
      <c r="M420" t="s">
        <v>1223</v>
      </c>
      <c r="N420" t="s">
        <v>1224</v>
      </c>
    </row>
    <row r="421" spans="1:15">
      <c r="K421" t="s">
        <v>1253</v>
      </c>
      <c r="L421">
        <v>30.5</v>
      </c>
      <c r="M421" s="453">
        <v>0.1986970684039088</v>
      </c>
      <c r="N421" s="298">
        <v>18927.142769589278</v>
      </c>
    </row>
    <row r="422" spans="1:15">
      <c r="K422" t="s">
        <v>1241</v>
      </c>
      <c r="L422">
        <v>10</v>
      </c>
      <c r="M422" s="453">
        <v>6.5146579804560262E-2</v>
      </c>
      <c r="N422" s="298">
        <v>6205.6205801932065</v>
      </c>
    </row>
    <row r="423" spans="1:15">
      <c r="K423" t="s">
        <v>1299</v>
      </c>
      <c r="L423">
        <v>9</v>
      </c>
      <c r="M423" s="453">
        <v>5.8631921824104233E-2</v>
      </c>
      <c r="N423" s="298">
        <v>5585.0585221738847</v>
      </c>
    </row>
    <row r="424" spans="1:15">
      <c r="K424" t="s">
        <v>1352</v>
      </c>
      <c r="L424">
        <v>52</v>
      </c>
      <c r="M424" s="453">
        <v>0.33876221498371334</v>
      </c>
      <c r="N424" s="298">
        <v>32269.227017004701</v>
      </c>
    </row>
    <row r="425" spans="1:15">
      <c r="K425" t="s">
        <v>1353</v>
      </c>
      <c r="L425">
        <v>52</v>
      </c>
      <c r="M425" s="453">
        <v>0.33876221498371334</v>
      </c>
      <c r="N425" s="298">
        <v>37282.715222581799</v>
      </c>
      <c r="O425" t="s">
        <v>1354</v>
      </c>
    </row>
    <row r="426" spans="1:15">
      <c r="K426" t="s">
        <v>1227</v>
      </c>
      <c r="M426" s="453">
        <v>0</v>
      </c>
      <c r="N426" s="298">
        <v>8719.1099227428604</v>
      </c>
      <c r="O426" t="s">
        <v>1295</v>
      </c>
    </row>
    <row r="430" spans="1:15" s="433" customFormat="1"/>
    <row r="431" spans="1:15">
      <c r="H431" s="604" t="s">
        <v>1019</v>
      </c>
      <c r="I431" s="604"/>
      <c r="J431" s="604"/>
    </row>
    <row r="432" spans="1:15">
      <c r="A432" s="616" t="s">
        <v>1355</v>
      </c>
      <c r="B432" s="616"/>
      <c r="C432" s="616"/>
      <c r="D432" s="616"/>
      <c r="E432" s="616"/>
      <c r="F432" s="616"/>
      <c r="G432" s="616"/>
      <c r="K432" t="s">
        <v>1356</v>
      </c>
    </row>
    <row r="434" spans="6:14" s="494" customFormat="1"/>
    <row r="435" spans="6:14">
      <c r="H435" s="604" t="s">
        <v>1019</v>
      </c>
      <c r="I435" s="604"/>
      <c r="J435" s="604"/>
    </row>
    <row r="437" spans="6:14">
      <c r="K437" s="441" t="s">
        <v>196</v>
      </c>
      <c r="L437" s="442"/>
      <c r="M437" s="442"/>
      <c r="N437" s="442"/>
    </row>
    <row r="438" spans="6:14">
      <c r="K438" s="442"/>
      <c r="L438" s="442" t="s">
        <v>20</v>
      </c>
      <c r="M438" s="442" t="s">
        <v>1223</v>
      </c>
      <c r="N438" s="442" t="s">
        <v>1224</v>
      </c>
    </row>
    <row r="439" spans="6:14">
      <c r="K439" s="442" t="s">
        <v>1296</v>
      </c>
      <c r="L439" s="442">
        <v>600</v>
      </c>
      <c r="M439" s="444">
        <v>0.5</v>
      </c>
      <c r="N439" s="445">
        <v>5000</v>
      </c>
    </row>
    <row r="440" spans="6:14">
      <c r="K440" s="442" t="s">
        <v>1260</v>
      </c>
      <c r="L440" s="442">
        <v>600</v>
      </c>
      <c r="M440" s="444">
        <v>0.5</v>
      </c>
      <c r="N440" s="445">
        <v>5000</v>
      </c>
    </row>
    <row r="442" spans="6:14" s="433" customFormat="1"/>
    <row r="443" spans="6:14">
      <c r="H443" s="604" t="s">
        <v>1019</v>
      </c>
      <c r="I443" s="604"/>
      <c r="J443" s="604"/>
    </row>
    <row r="444" spans="6:14">
      <c r="F444" t="s">
        <v>1277</v>
      </c>
      <c r="K444" t="s">
        <v>1357</v>
      </c>
    </row>
    <row r="445" spans="6:14">
      <c r="L445" t="s">
        <v>20</v>
      </c>
      <c r="M445" t="s">
        <v>1223</v>
      </c>
      <c r="N445" t="s">
        <v>1224</v>
      </c>
    </row>
    <row r="446" spans="6:14">
      <c r="K446" t="s">
        <v>1238</v>
      </c>
      <c r="L446">
        <v>184</v>
      </c>
      <c r="M446" s="453">
        <v>0.5</v>
      </c>
      <c r="N446" s="297">
        <v>12000</v>
      </c>
    </row>
    <row r="447" spans="6:14">
      <c r="K447" t="s">
        <v>1237</v>
      </c>
      <c r="L447">
        <v>92.5</v>
      </c>
      <c r="M447" s="453">
        <v>0.5</v>
      </c>
      <c r="N447" s="297">
        <v>6000</v>
      </c>
    </row>
    <row r="449" spans="7:15" s="433" customFormat="1"/>
    <row r="450" spans="7:15">
      <c r="H450" s="604" t="s">
        <v>1019</v>
      </c>
      <c r="I450" s="604"/>
      <c r="J450" s="604"/>
    </row>
    <row r="452" spans="7:15">
      <c r="G452" s="452" t="s">
        <v>1358</v>
      </c>
      <c r="K452" t="s">
        <v>1230</v>
      </c>
    </row>
    <row r="453" spans="7:15">
      <c r="L453" t="s">
        <v>20</v>
      </c>
      <c r="M453" t="s">
        <v>1223</v>
      </c>
      <c r="N453" t="s">
        <v>1224</v>
      </c>
    </row>
    <row r="454" spans="7:15">
      <c r="K454" t="s">
        <v>1225</v>
      </c>
      <c r="L454">
        <v>16</v>
      </c>
      <c r="M454" s="453">
        <v>1.9912881144990666E-2</v>
      </c>
      <c r="N454" s="298">
        <v>1767.6054230740519</v>
      </c>
    </row>
    <row r="455" spans="7:15">
      <c r="K455" t="s">
        <v>1253</v>
      </c>
      <c r="L455">
        <v>7</v>
      </c>
      <c r="M455" s="453">
        <v>8.7118855009334171E-3</v>
      </c>
      <c r="N455" s="298">
        <v>773.32737259489784</v>
      </c>
    </row>
    <row r="456" spans="7:15">
      <c r="K456" t="s">
        <v>1227</v>
      </c>
      <c r="L456">
        <v>148.75</v>
      </c>
      <c r="M456" s="453">
        <v>0.18512756689483509</v>
      </c>
      <c r="N456" s="298">
        <v>26296.199427641579</v>
      </c>
      <c r="O456" t="s">
        <v>1228</v>
      </c>
    </row>
    <row r="457" spans="7:15">
      <c r="K457" t="s">
        <v>1231</v>
      </c>
      <c r="L457">
        <v>21</v>
      </c>
      <c r="M457" s="453">
        <v>2.613565650280025E-2</v>
      </c>
      <c r="N457" s="298">
        <v>2319.9821177846934</v>
      </c>
    </row>
    <row r="458" spans="7:15">
      <c r="K458" t="s">
        <v>1296</v>
      </c>
      <c r="L458">
        <v>79</v>
      </c>
      <c r="M458" s="453">
        <v>9.8319850653391411E-2</v>
      </c>
      <c r="N458" s="298">
        <v>8727.5517764281321</v>
      </c>
    </row>
    <row r="459" spans="7:15">
      <c r="K459" t="s">
        <v>1254</v>
      </c>
      <c r="L459">
        <v>17.5</v>
      </c>
      <c r="M459" s="453">
        <v>2.1779713752333542E-2</v>
      </c>
      <c r="N459" s="298">
        <v>1933.3184314872444</v>
      </c>
    </row>
    <row r="460" spans="7:15">
      <c r="K460" t="s">
        <v>1299</v>
      </c>
      <c r="L460">
        <v>139</v>
      </c>
      <c r="M460" s="453">
        <v>0.1729931549471064</v>
      </c>
      <c r="N460" s="298">
        <v>15356.072112955826</v>
      </c>
    </row>
    <row r="461" spans="7:15">
      <c r="K461" t="s">
        <v>1232</v>
      </c>
      <c r="L461">
        <v>36.75</v>
      </c>
      <c r="M461" s="453">
        <v>4.5737398879900436E-2</v>
      </c>
      <c r="N461" s="298">
        <v>4059.968706123213</v>
      </c>
    </row>
    <row r="462" spans="7:15">
      <c r="K462" t="s">
        <v>1229</v>
      </c>
      <c r="L462">
        <v>30.5</v>
      </c>
      <c r="M462" s="453">
        <v>3.7958929682638455E-2</v>
      </c>
      <c r="N462" s="298">
        <v>3369.4978377349112</v>
      </c>
    </row>
    <row r="463" spans="7:15">
      <c r="K463" t="s">
        <v>1260</v>
      </c>
      <c r="L463">
        <v>79</v>
      </c>
      <c r="M463" s="453">
        <v>9.8319850653391411E-2</v>
      </c>
      <c r="N463" s="298">
        <v>8727.5517764281321</v>
      </c>
    </row>
    <row r="464" spans="7:15">
      <c r="K464" t="s">
        <v>1309</v>
      </c>
      <c r="L464">
        <v>17.5</v>
      </c>
      <c r="M464" s="453">
        <v>2.1779713752333542E-2</v>
      </c>
      <c r="N464" s="298">
        <v>1933.3184314872444</v>
      </c>
    </row>
    <row r="465" spans="8:15">
      <c r="L465">
        <v>592</v>
      </c>
      <c r="M465" s="453"/>
      <c r="N465" s="298"/>
    </row>
    <row r="467" spans="8:15" s="433" customFormat="1"/>
    <row r="468" spans="8:15">
      <c r="H468" s="604" t="s">
        <v>1019</v>
      </c>
      <c r="I468" s="604"/>
      <c r="J468" s="604"/>
    </row>
    <row r="469" spans="8:15">
      <c r="K469" t="s">
        <v>307</v>
      </c>
    </row>
    <row r="470" spans="8:15">
      <c r="L470" t="s">
        <v>20</v>
      </c>
      <c r="M470" t="s">
        <v>1223</v>
      </c>
      <c r="N470" t="s">
        <v>1224</v>
      </c>
    </row>
    <row r="471" spans="8:15">
      <c r="K471" t="s">
        <v>1227</v>
      </c>
      <c r="L471">
        <v>0</v>
      </c>
      <c r="M471" s="453">
        <v>0</v>
      </c>
      <c r="N471" s="298">
        <v>4772.3866034285747</v>
      </c>
      <c r="O471" t="s">
        <v>1228</v>
      </c>
    </row>
    <row r="472" spans="8:15">
      <c r="K472" t="s">
        <v>1253</v>
      </c>
      <c r="L472">
        <v>46</v>
      </c>
      <c r="M472" s="453">
        <v>8.5027726432532341E-2</v>
      </c>
      <c r="N472" s="298">
        <v>3469.4633107734903</v>
      </c>
    </row>
    <row r="473" spans="8:15">
      <c r="K473" t="s">
        <v>1254</v>
      </c>
      <c r="L473">
        <v>173</v>
      </c>
      <c r="M473" s="453">
        <v>0.31977818853974121</v>
      </c>
      <c r="N473" s="298">
        <v>15195.772944669248</v>
      </c>
      <c r="O473" t="s">
        <v>1226</v>
      </c>
    </row>
    <row r="474" spans="8:15">
      <c r="K474" t="s">
        <v>1309</v>
      </c>
      <c r="L474">
        <v>78.5</v>
      </c>
      <c r="M474" s="453">
        <v>0.14510166358595195</v>
      </c>
      <c r="N474" s="298">
        <v>5920.7145629504139</v>
      </c>
    </row>
    <row r="475" spans="8:15">
      <c r="K475" t="s">
        <v>1225</v>
      </c>
      <c r="L475">
        <v>32</v>
      </c>
      <c r="M475" s="453">
        <v>5.9149722735674676E-2</v>
      </c>
      <c r="N475" s="298">
        <v>2413.539694451124</v>
      </c>
    </row>
    <row r="477" spans="8:15" s="433" customFormat="1"/>
    <row r="478" spans="8:15">
      <c r="H478" s="604" t="s">
        <v>1019</v>
      </c>
      <c r="I478" s="604"/>
      <c r="J478" s="604"/>
    </row>
    <row r="479" spans="8:15">
      <c r="K479" t="s">
        <v>1359</v>
      </c>
    </row>
    <row r="480" spans="8:15">
      <c r="L480" t="s">
        <v>20</v>
      </c>
      <c r="M480" t="s">
        <v>1223</v>
      </c>
      <c r="N480" t="s">
        <v>1224</v>
      </c>
    </row>
    <row r="481" spans="8:15">
      <c r="K481" t="s">
        <v>1227</v>
      </c>
      <c r="L481">
        <v>22</v>
      </c>
      <c r="M481" s="453">
        <v>1.9289785181937746E-2</v>
      </c>
      <c r="N481" s="298">
        <v>25744.790328698466</v>
      </c>
      <c r="O481" t="s">
        <v>1228</v>
      </c>
    </row>
    <row r="482" spans="8:15">
      <c r="K482" t="s">
        <v>1231</v>
      </c>
      <c r="L482">
        <v>226.5</v>
      </c>
      <c r="M482" s="453">
        <v>0.19859710653222271</v>
      </c>
      <c r="N482" s="298">
        <v>47470.711536388299</v>
      </c>
      <c r="O482" t="s">
        <v>1226</v>
      </c>
    </row>
    <row r="483" spans="8:15">
      <c r="K483" t="s">
        <v>1232</v>
      </c>
      <c r="L483">
        <v>190.5</v>
      </c>
      <c r="M483" s="453">
        <v>0.16703200350723366</v>
      </c>
      <c r="N483" s="298">
        <v>31561.396106898868</v>
      </c>
    </row>
    <row r="484" spans="8:15">
      <c r="K484" t="s">
        <v>1229</v>
      </c>
      <c r="L484">
        <v>240</v>
      </c>
      <c r="M484" s="453">
        <v>0.2104340201665936</v>
      </c>
      <c r="N484" s="298">
        <v>39762.388796093066</v>
      </c>
    </row>
    <row r="485" spans="8:15">
      <c r="K485" t="s">
        <v>1236</v>
      </c>
      <c r="L485">
        <v>40</v>
      </c>
      <c r="M485" s="453">
        <v>3.5072336694432264E-2</v>
      </c>
      <c r="N485" s="298">
        <v>6627.0647993488437</v>
      </c>
    </row>
    <row r="486" spans="8:15">
      <c r="M486" s="453"/>
      <c r="N486" s="298"/>
    </row>
    <row r="487" spans="8:15">
      <c r="M487" s="453"/>
      <c r="N487" s="298"/>
    </row>
    <row r="489" spans="8:15" s="433" customFormat="1"/>
    <row r="490" spans="8:15">
      <c r="H490" s="604" t="s">
        <v>1019</v>
      </c>
      <c r="I490" s="604"/>
      <c r="J490" s="604"/>
    </row>
    <row r="492" spans="8:15">
      <c r="K492" t="s">
        <v>1360</v>
      </c>
    </row>
    <row r="493" spans="8:15">
      <c r="L493" t="s">
        <v>20</v>
      </c>
      <c r="M493" t="s">
        <v>1223</v>
      </c>
      <c r="N493" t="s">
        <v>1224</v>
      </c>
    </row>
    <row r="494" spans="8:15">
      <c r="K494" t="s">
        <v>1225</v>
      </c>
      <c r="L494">
        <v>10.5</v>
      </c>
      <c r="M494" s="453">
        <v>8.1924577373211956E-3</v>
      </c>
      <c r="N494" s="298">
        <v>920.97179989957601</v>
      </c>
    </row>
    <row r="495" spans="8:15">
      <c r="K495" t="s">
        <v>1253</v>
      </c>
      <c r="L495">
        <v>206.5</v>
      </c>
      <c r="M495" s="453">
        <v>0.26853055916775032</v>
      </c>
      <c r="N495" s="298">
        <v>30187.408996708324</v>
      </c>
    </row>
    <row r="496" spans="8:15">
      <c r="K496" t="s">
        <v>1227</v>
      </c>
      <c r="L496">
        <v>38</v>
      </c>
      <c r="M496" s="453">
        <v>4.94148244473342E-2</v>
      </c>
      <c r="N496" s="298">
        <v>18703.259109071685</v>
      </c>
      <c r="O496" t="s">
        <v>1228</v>
      </c>
    </row>
    <row r="497" spans="8:18">
      <c r="K497" t="s">
        <v>1254</v>
      </c>
      <c r="L497">
        <v>53</v>
      </c>
      <c r="M497" s="453">
        <v>4.1352405721716508E-2</v>
      </c>
      <c r="N497" s="298">
        <v>4648.7147994930974</v>
      </c>
      <c r="R497" s="499"/>
    </row>
    <row r="498" spans="8:18">
      <c r="K498" t="s">
        <v>1236</v>
      </c>
      <c r="L498">
        <v>218.5</v>
      </c>
      <c r="M498" s="453">
        <v>0.28413524057217165</v>
      </c>
      <c r="N498" s="298">
        <v>37858.326995871881</v>
      </c>
      <c r="O498" t="s">
        <v>1226</v>
      </c>
    </row>
    <row r="499" spans="8:18">
      <c r="K499" t="s">
        <v>1299</v>
      </c>
      <c r="L499">
        <v>15</v>
      </c>
      <c r="M499" s="453">
        <v>1.950585175552666E-2</v>
      </c>
      <c r="N499" s="298">
        <v>2192.7899997608956</v>
      </c>
    </row>
    <row r="500" spans="8:18">
      <c r="K500" t="s">
        <v>1232</v>
      </c>
      <c r="L500">
        <v>5</v>
      </c>
      <c r="M500" s="453">
        <v>6.5019505851755524E-3</v>
      </c>
      <c r="N500" s="298">
        <v>730.92999992029843</v>
      </c>
    </row>
    <row r="501" spans="8:18">
      <c r="K501" t="s">
        <v>1238</v>
      </c>
      <c r="L501">
        <v>3</v>
      </c>
      <c r="M501" s="453">
        <v>3.9011703511053317E-3</v>
      </c>
      <c r="N501" s="298">
        <v>438.5579999521791</v>
      </c>
    </row>
    <row r="502" spans="8:18">
      <c r="K502" t="s">
        <v>1237</v>
      </c>
      <c r="L502">
        <v>3</v>
      </c>
      <c r="M502" s="453">
        <v>3.9011703511053317E-3</v>
      </c>
      <c r="N502" s="298">
        <v>438.5579999521791</v>
      </c>
    </row>
    <row r="503" spans="8:18">
      <c r="K503" t="s">
        <v>1309</v>
      </c>
      <c r="L503">
        <v>18.5</v>
      </c>
      <c r="M503" s="453">
        <v>1.4434330299089727E-2</v>
      </c>
      <c r="N503" s="298">
        <v>1622.6645998230626</v>
      </c>
    </row>
    <row r="506" spans="8:18" s="433" customFormat="1"/>
    <row r="507" spans="8:18">
      <c r="H507" s="604" t="s">
        <v>1019</v>
      </c>
      <c r="I507" s="604"/>
      <c r="J507" s="604"/>
    </row>
    <row r="509" spans="8:18">
      <c r="K509" t="s">
        <v>1361</v>
      </c>
    </row>
    <row r="510" spans="8:18">
      <c r="L510" t="s">
        <v>20</v>
      </c>
      <c r="M510" t="s">
        <v>1223</v>
      </c>
      <c r="N510" t="s">
        <v>1224</v>
      </c>
    </row>
    <row r="511" spans="8:18">
      <c r="K511" t="s">
        <v>1227</v>
      </c>
      <c r="L511">
        <v>0</v>
      </c>
      <c r="M511" s="453">
        <v>0</v>
      </c>
      <c r="N511" s="298">
        <v>26496.631052380941</v>
      </c>
      <c r="O511" t="s">
        <v>1228</v>
      </c>
    </row>
    <row r="512" spans="8:18">
      <c r="K512" t="s">
        <v>1253</v>
      </c>
      <c r="L512">
        <v>263</v>
      </c>
      <c r="M512" s="453">
        <v>9.1749520320948894E-2</v>
      </c>
      <c r="N512" s="298">
        <v>20785.504767464296</v>
      </c>
    </row>
    <row r="513" spans="11:15">
      <c r="K513" t="s">
        <v>1254</v>
      </c>
      <c r="L513">
        <v>44.5</v>
      </c>
      <c r="M513" s="453">
        <v>1.5524158381301239E-2</v>
      </c>
      <c r="N513" s="298">
        <v>2461.8573137129761</v>
      </c>
    </row>
    <row r="514" spans="11:15">
      <c r="K514" t="s">
        <v>1309</v>
      </c>
      <c r="L514">
        <v>59</v>
      </c>
      <c r="M514" s="453">
        <v>2.0582592011163438E-2</v>
      </c>
      <c r="N514" s="298">
        <v>3264.0355395295637</v>
      </c>
    </row>
    <row r="515" spans="11:15">
      <c r="K515" t="s">
        <v>1225</v>
      </c>
      <c r="L515">
        <v>85</v>
      </c>
      <c r="M515" s="453">
        <v>2.9652886795743939E-2</v>
      </c>
      <c r="N515" s="298">
        <v>4702.4240823731006</v>
      </c>
    </row>
    <row r="516" spans="11:15">
      <c r="K516" t="s">
        <v>1241</v>
      </c>
      <c r="L516">
        <v>386.5</v>
      </c>
      <c r="M516" s="453">
        <v>0.13483342054770625</v>
      </c>
      <c r="N516" s="298">
        <v>30545.998451045434</v>
      </c>
    </row>
    <row r="517" spans="11:15">
      <c r="K517" t="s">
        <v>1293</v>
      </c>
      <c r="L517">
        <v>293.5</v>
      </c>
      <c r="M517" s="453">
        <v>0.10238967381824525</v>
      </c>
      <c r="N517" s="298">
        <v>23195.991061790002</v>
      </c>
    </row>
    <row r="518" spans="11:15">
      <c r="K518" t="s">
        <v>1352</v>
      </c>
      <c r="L518">
        <v>341.5</v>
      </c>
      <c r="M518" s="453">
        <v>0.1191348334205477</v>
      </c>
      <c r="N518" s="298">
        <v>35058.821949388454</v>
      </c>
    </row>
    <row r="519" spans="11:15">
      <c r="K519" t="s">
        <v>1353</v>
      </c>
      <c r="L519">
        <v>454</v>
      </c>
      <c r="M519" s="453">
        <v>0.1583813012384441</v>
      </c>
      <c r="N519" s="298">
        <v>47804.165207140963</v>
      </c>
      <c r="O519" t="s">
        <v>1226</v>
      </c>
    </row>
    <row r="520" spans="11:15">
      <c r="K520" t="s">
        <v>1232</v>
      </c>
      <c r="L520">
        <v>0</v>
      </c>
      <c r="M520" s="453">
        <v>0</v>
      </c>
      <c r="N520" s="298">
        <v>0</v>
      </c>
    </row>
    <row r="521" spans="11:15">
      <c r="K521" t="s">
        <v>1299</v>
      </c>
      <c r="L521">
        <v>19</v>
      </c>
      <c r="M521" s="453">
        <v>6.6282923425780571E-3</v>
      </c>
      <c r="N521" s="298">
        <v>1501.6144128586373</v>
      </c>
    </row>
    <row r="522" spans="11:15">
      <c r="K522" t="s">
        <v>1236</v>
      </c>
      <c r="L522">
        <v>112</v>
      </c>
      <c r="M522" s="453">
        <v>3.9072039072039072E-2</v>
      </c>
      <c r="N522" s="298">
        <v>8851.6218021140721</v>
      </c>
    </row>
    <row r="523" spans="11:15">
      <c r="K523" t="s">
        <v>1260</v>
      </c>
      <c r="L523">
        <v>10</v>
      </c>
      <c r="M523" s="453">
        <v>3.4885749171463458E-3</v>
      </c>
      <c r="N523" s="298">
        <v>790.32337518875647</v>
      </c>
    </row>
    <row r="524" spans="11:15">
      <c r="K524" t="s">
        <v>1296</v>
      </c>
      <c r="L524">
        <v>10</v>
      </c>
      <c r="M524" s="453">
        <v>3.4885749171463458E-3</v>
      </c>
      <c r="N524" s="298">
        <v>790.32337518875647</v>
      </c>
    </row>
    <row r="525" spans="11:15">
      <c r="L525">
        <v>2078</v>
      </c>
      <c r="N525" s="298">
        <v>206249.31239017594</v>
      </c>
    </row>
    <row r="528" spans="11:15" s="433" customFormat="1"/>
    <row r="529" spans="8:15">
      <c r="H529" s="613" t="s">
        <v>866</v>
      </c>
      <c r="I529" s="613"/>
      <c r="J529" s="613"/>
    </row>
    <row r="531" spans="8:15">
      <c r="K531" t="s">
        <v>1361</v>
      </c>
    </row>
    <row r="532" spans="8:15">
      <c r="J532" t="s">
        <v>616</v>
      </c>
      <c r="K532" t="s">
        <v>1309</v>
      </c>
      <c r="L532" s="298">
        <v>3817.2619021616933</v>
      </c>
    </row>
    <row r="533" spans="8:15">
      <c r="K533" t="s">
        <v>1254</v>
      </c>
      <c r="L533" s="298">
        <v>3872.5845384249064</v>
      </c>
    </row>
    <row r="535" spans="8:15" s="433" customFormat="1"/>
    <row r="536" spans="8:15">
      <c r="H536" s="613" t="s">
        <v>866</v>
      </c>
      <c r="I536" s="613"/>
      <c r="J536" s="613"/>
    </row>
    <row r="539" spans="8:15">
      <c r="K539" t="s">
        <v>1362</v>
      </c>
    </row>
    <row r="540" spans="8:15">
      <c r="L540" t="s">
        <v>20</v>
      </c>
      <c r="M540" t="s">
        <v>1223</v>
      </c>
      <c r="N540" t="s">
        <v>1224</v>
      </c>
    </row>
    <row r="541" spans="8:15">
      <c r="K541" t="s">
        <v>1227</v>
      </c>
      <c r="L541">
        <v>0</v>
      </c>
      <c r="M541" s="453">
        <v>0</v>
      </c>
      <c r="N541" s="298">
        <v>5138.8268205128188</v>
      </c>
      <c r="O541" t="s">
        <v>1228</v>
      </c>
    </row>
    <row r="542" spans="8:15">
      <c r="K542" t="s">
        <v>1296</v>
      </c>
      <c r="L542">
        <v>91.5</v>
      </c>
      <c r="M542" s="453">
        <v>0.5</v>
      </c>
      <c r="N542" s="298">
        <v>24409.427397435884</v>
      </c>
      <c r="O542" t="s">
        <v>1226</v>
      </c>
    </row>
    <row r="543" spans="8:15">
      <c r="K543" t="s">
        <v>1260</v>
      </c>
      <c r="L543">
        <v>91.5</v>
      </c>
      <c r="M543" s="453">
        <v>0.5</v>
      </c>
      <c r="N543" s="298">
        <v>21840.013987179474</v>
      </c>
    </row>
    <row r="545" spans="8:16" s="433" customFormat="1"/>
    <row r="546" spans="8:16">
      <c r="H546" s="613" t="s">
        <v>866</v>
      </c>
      <c r="I546" s="613"/>
      <c r="J546" s="613"/>
    </row>
    <row r="548" spans="8:16">
      <c r="K548" t="s">
        <v>1230</v>
      </c>
      <c r="P548" t="s">
        <v>1363</v>
      </c>
    </row>
    <row r="549" spans="8:16">
      <c r="L549" t="s">
        <v>20</v>
      </c>
      <c r="M549" t="s">
        <v>1223</v>
      </c>
      <c r="N549" t="s">
        <v>1224</v>
      </c>
    </row>
    <row r="550" spans="8:16">
      <c r="K550" t="s">
        <v>1227</v>
      </c>
      <c r="L550">
        <v>296.5</v>
      </c>
      <c r="M550" s="453">
        <v>0.1699627400401261</v>
      </c>
      <c r="N550" s="298">
        <v>37699.536971869667</v>
      </c>
      <c r="O550" t="s">
        <v>1228</v>
      </c>
    </row>
    <row r="551" spans="8:16">
      <c r="K551" t="s">
        <v>1231</v>
      </c>
      <c r="L551">
        <v>247</v>
      </c>
      <c r="M551" s="453">
        <v>0.1415878475207796</v>
      </c>
      <c r="N551" s="298">
        <v>18990.725286305526</v>
      </c>
    </row>
    <row r="552" spans="8:16">
      <c r="K552" t="s">
        <v>1296</v>
      </c>
      <c r="L552">
        <v>134.5</v>
      </c>
      <c r="M552" s="453">
        <v>7.7099455431355685E-2</v>
      </c>
      <c r="N552" s="298">
        <v>10341.103445376893</v>
      </c>
    </row>
    <row r="553" spans="8:16">
      <c r="K553" t="s">
        <v>1299</v>
      </c>
      <c r="L553">
        <v>127.5</v>
      </c>
      <c r="M553" s="453">
        <v>7.3086844368013756E-2</v>
      </c>
      <c r="N553" s="298">
        <v>9802.9047530524458</v>
      </c>
    </row>
    <row r="554" spans="8:16">
      <c r="K554" t="s">
        <v>1232</v>
      </c>
      <c r="L554">
        <v>313</v>
      </c>
      <c r="M554" s="453">
        <v>0.17942103754657496</v>
      </c>
      <c r="N554" s="298">
        <v>24065.17009965032</v>
      </c>
    </row>
    <row r="555" spans="8:16">
      <c r="K555" t="s">
        <v>1229</v>
      </c>
      <c r="L555">
        <v>258.5</v>
      </c>
      <c r="M555" s="453">
        <v>0.14817999426769848</v>
      </c>
      <c r="N555" s="298">
        <v>19874.908852267115</v>
      </c>
    </row>
    <row r="556" spans="8:16">
      <c r="K556" t="s">
        <v>1260</v>
      </c>
      <c r="L556">
        <v>145.5</v>
      </c>
      <c r="M556" s="453">
        <v>8.3404987102321582E-2</v>
      </c>
      <c r="N556" s="298">
        <v>11186.844247601026</v>
      </c>
    </row>
    <row r="557" spans="8:16">
      <c r="L557">
        <v>1522.5</v>
      </c>
      <c r="M557" s="453">
        <v>0.87274290627687012</v>
      </c>
      <c r="N557" s="298">
        <v>131961.19365612298</v>
      </c>
    </row>
    <row r="559" spans="8:16" s="433" customFormat="1"/>
    <row r="560" spans="8:16">
      <c r="H560" s="604" t="s">
        <v>866</v>
      </c>
      <c r="I560" s="604"/>
      <c r="J560" s="604"/>
    </row>
    <row r="562" spans="1:16">
      <c r="P562" s="388" t="s">
        <v>1364</v>
      </c>
    </row>
    <row r="563" spans="1:16">
      <c r="K563" t="s">
        <v>1230</v>
      </c>
      <c r="P563" s="388">
        <v>2500</v>
      </c>
    </row>
    <row r="564" spans="1:16">
      <c r="L564" t="s">
        <v>20</v>
      </c>
      <c r="M564" t="s">
        <v>1223</v>
      </c>
      <c r="N564" t="s">
        <v>1224</v>
      </c>
    </row>
    <row r="565" spans="1:16">
      <c r="K565" t="s">
        <v>1227</v>
      </c>
      <c r="L565">
        <v>11.5</v>
      </c>
      <c r="M565" s="453">
        <v>5.2511415525114152E-2</v>
      </c>
      <c r="N565" s="298">
        <v>6366.7824866575329</v>
      </c>
      <c r="O565" t="s">
        <v>1228</v>
      </c>
    </row>
    <row r="566" spans="1:16">
      <c r="K566" t="s">
        <v>1231</v>
      </c>
      <c r="L566">
        <v>4.5</v>
      </c>
      <c r="M566" s="453">
        <v>2.0547945205479451E-2</v>
      </c>
      <c r="N566" s="298">
        <v>771.95920956164366</v>
      </c>
    </row>
    <row r="567" spans="1:16">
      <c r="K567" t="s">
        <v>1254</v>
      </c>
      <c r="L567">
        <v>103</v>
      </c>
      <c r="M567" s="453">
        <v>0.47031963470319632</v>
      </c>
      <c r="N567" s="298">
        <v>19646.587602410957</v>
      </c>
      <c r="O567" t="s">
        <v>1226</v>
      </c>
    </row>
    <row r="568" spans="1:16">
      <c r="K568" t="s">
        <v>1309</v>
      </c>
      <c r="L568">
        <v>103</v>
      </c>
      <c r="M568" s="453">
        <v>0.47031963470319632</v>
      </c>
      <c r="N568" s="298">
        <v>17669.288574410955</v>
      </c>
    </row>
    <row r="569" spans="1:16">
      <c r="L569">
        <f>SUM(L565:L568)</f>
        <v>222</v>
      </c>
      <c r="M569" s="453"/>
      <c r="N569" s="298">
        <f>SUM(N565:N568)</f>
        <v>44454.61787304109</v>
      </c>
    </row>
    <row r="570" spans="1:16" s="433" customFormat="1"/>
    <row r="571" spans="1:16">
      <c r="H571" s="604" t="s">
        <v>1365</v>
      </c>
      <c r="I571" s="604"/>
      <c r="J571" s="604"/>
    </row>
    <row r="573" spans="1:16">
      <c r="A573" t="s">
        <v>1366</v>
      </c>
    </row>
    <row r="575" spans="1:16">
      <c r="A575" t="s">
        <v>1367</v>
      </c>
      <c r="B575">
        <v>7500</v>
      </c>
    </row>
    <row r="576" spans="1:16">
      <c r="A576" t="s">
        <v>1368</v>
      </c>
      <c r="B576">
        <v>7500</v>
      </c>
    </row>
    <row r="578" spans="8:16" s="433" customFormat="1"/>
    <row r="579" spans="8:16">
      <c r="H579" s="604" t="s">
        <v>1365</v>
      </c>
      <c r="I579" s="604"/>
      <c r="J579" s="604"/>
    </row>
    <row r="580" spans="8:16">
      <c r="P580" s="388" t="s">
        <v>1369</v>
      </c>
    </row>
    <row r="581" spans="8:16">
      <c r="P581" s="388">
        <v>3500</v>
      </c>
    </row>
    <row r="582" spans="8:16">
      <c r="K582" t="s">
        <v>1230</v>
      </c>
    </row>
    <row r="583" spans="8:16">
      <c r="L583" t="s">
        <v>20</v>
      </c>
      <c r="M583" t="s">
        <v>1223</v>
      </c>
      <c r="N583" t="s">
        <v>1224</v>
      </c>
    </row>
    <row r="584" spans="8:16">
      <c r="K584" t="s">
        <v>1227</v>
      </c>
      <c r="L584">
        <v>77.3</v>
      </c>
      <c r="M584" s="453">
        <v>0.20558510638297872</v>
      </c>
      <c r="N584" s="298">
        <v>20562.389379612294</v>
      </c>
      <c r="O584" t="s">
        <v>1228</v>
      </c>
    </row>
    <row r="585" spans="8:16">
      <c r="K585" t="s">
        <v>1231</v>
      </c>
      <c r="L585">
        <v>90</v>
      </c>
      <c r="M585" s="453">
        <v>0.23936170212765959</v>
      </c>
      <c r="N585" s="298">
        <v>15541.229259574468</v>
      </c>
    </row>
    <row r="586" spans="8:16">
      <c r="K586" t="s">
        <v>1296</v>
      </c>
      <c r="L586">
        <v>15.7</v>
      </c>
      <c r="M586" s="453">
        <v>4.1755319148936168E-2</v>
      </c>
      <c r="N586" s="298">
        <v>2711.0811041702127</v>
      </c>
    </row>
    <row r="587" spans="8:16">
      <c r="K587" t="s">
        <v>1232</v>
      </c>
      <c r="L587">
        <v>90</v>
      </c>
      <c r="M587" s="453">
        <v>0.23936170212765959</v>
      </c>
      <c r="N587" s="298">
        <v>15541.229259574468</v>
      </c>
    </row>
    <row r="588" spans="8:16">
      <c r="K588" t="s">
        <v>1229</v>
      </c>
      <c r="L588">
        <v>90</v>
      </c>
      <c r="M588" s="453">
        <v>0.23936170212765959</v>
      </c>
      <c r="N588" s="298">
        <v>15541.229259574468</v>
      </c>
    </row>
    <row r="589" spans="8:16">
      <c r="K589" t="s">
        <v>1260</v>
      </c>
      <c r="L589">
        <v>15.7</v>
      </c>
      <c r="M589" s="453">
        <v>4.1755319148936168E-2</v>
      </c>
      <c r="N589" s="298">
        <v>2711.0811041702127</v>
      </c>
    </row>
    <row r="590" spans="8:16">
      <c r="L590">
        <v>378.7</v>
      </c>
      <c r="M590" s="453">
        <f>SUM(M584:M589)</f>
        <v>1.0071808510638298</v>
      </c>
      <c r="N590" s="298">
        <v>72608.23936667612</v>
      </c>
    </row>
    <row r="591" spans="8:16" s="433" customFormat="1"/>
    <row r="592" spans="8:16">
      <c r="H592" s="604" t="s">
        <v>1365</v>
      </c>
      <c r="I592" s="604"/>
      <c r="J592" s="604"/>
    </row>
    <row r="593" spans="11:16">
      <c r="P593" t="s">
        <v>1370</v>
      </c>
    </row>
    <row r="594" spans="11:16">
      <c r="K594" t="s">
        <v>1371</v>
      </c>
    </row>
    <row r="595" spans="11:16">
      <c r="L595" t="s">
        <v>20</v>
      </c>
      <c r="M595" t="s">
        <v>1223</v>
      </c>
      <c r="N595" t="s">
        <v>1224</v>
      </c>
    </row>
    <row r="596" spans="11:16">
      <c r="K596" t="s">
        <v>1227</v>
      </c>
      <c r="L596">
        <v>0</v>
      </c>
      <c r="M596" s="453">
        <v>0</v>
      </c>
      <c r="N596" s="298">
        <v>3439.4368000000004</v>
      </c>
      <c r="O596" t="s">
        <v>1228</v>
      </c>
    </row>
    <row r="597" spans="11:16">
      <c r="K597" t="s">
        <v>1296</v>
      </c>
      <c r="L597">
        <v>74.5</v>
      </c>
      <c r="M597" s="453">
        <v>0.49013157894736842</v>
      </c>
      <c r="N597" s="298">
        <v>16048.819410526316</v>
      </c>
      <c r="O597" t="s">
        <v>1226</v>
      </c>
    </row>
    <row r="598" spans="11:16">
      <c r="K598" t="s">
        <v>1260</v>
      </c>
      <c r="L598">
        <v>77.5</v>
      </c>
      <c r="M598" s="453">
        <v>0.50986842105263153</v>
      </c>
      <c r="N598" s="298">
        <v>14906.111789473684</v>
      </c>
    </row>
    <row r="599" spans="11:16">
      <c r="M599" s="453">
        <v>1</v>
      </c>
      <c r="N599" s="298">
        <v>34394.368000000002</v>
      </c>
    </row>
    <row r="601" spans="11:16" s="433" customFormat="1"/>
    <row r="611" s="433" customFormat="1"/>
  </sheetData>
  <mergeCells count="43">
    <mergeCell ref="H592:J592"/>
    <mergeCell ref="H262:J262"/>
    <mergeCell ref="H270:J270"/>
    <mergeCell ref="H287:J287"/>
    <mergeCell ref="H369:J369"/>
    <mergeCell ref="H330:J330"/>
    <mergeCell ref="H306:J306"/>
    <mergeCell ref="H529:J529"/>
    <mergeCell ref="H507:J507"/>
    <mergeCell ref="H468:J468"/>
    <mergeCell ref="H478:J478"/>
    <mergeCell ref="H350:J350"/>
    <mergeCell ref="H536:J536"/>
    <mergeCell ref="A432:G432"/>
    <mergeCell ref="H435:J435"/>
    <mergeCell ref="H431:J431"/>
    <mergeCell ref="H399:J399"/>
    <mergeCell ref="H384:J384"/>
    <mergeCell ref="H415:J415"/>
    <mergeCell ref="H1:J1"/>
    <mergeCell ref="H19:J19"/>
    <mergeCell ref="H37:J37"/>
    <mergeCell ref="H55:J55"/>
    <mergeCell ref="H140:J140"/>
    <mergeCell ref="H124:J124"/>
    <mergeCell ref="H89:J89"/>
    <mergeCell ref="H107:J107"/>
    <mergeCell ref="H71:J71"/>
    <mergeCell ref="H241:J241"/>
    <mergeCell ref="H579:J579"/>
    <mergeCell ref="H571:J571"/>
    <mergeCell ref="H150:J150"/>
    <mergeCell ref="H227:J227"/>
    <mergeCell ref="H194:J194"/>
    <mergeCell ref="H210:J210"/>
    <mergeCell ref="H181:J181"/>
    <mergeCell ref="H159:J159"/>
    <mergeCell ref="H160:J160"/>
    <mergeCell ref="H490:J490"/>
    <mergeCell ref="H443:J443"/>
    <mergeCell ref="H450:J450"/>
    <mergeCell ref="H546:J546"/>
    <mergeCell ref="H560:J560"/>
  </mergeCells>
  <dataValidations count="3">
    <dataValidation type="list" allowBlank="1" showInputMessage="1" showErrorMessage="1" sqref="K75:K84 K185:K191 K439:K440" xr:uid="{E8F52BC4-3C21-4347-BDE2-1502ADA2D368}">
      <formula1>$I$19:$I$38</formula1>
    </dataValidation>
    <dataValidation type="list" allowBlank="1" showInputMessage="1" showErrorMessage="1" sqref="K165:K178" xr:uid="{E99B7108-7016-4EBB-B71D-E475A5E3DEFF}">
      <formula1>$I$19:$I$46</formula1>
    </dataValidation>
    <dataValidation type="list" allowBlank="1" showInputMessage="1" showErrorMessage="1" sqref="K446:K447" xr:uid="{A3144221-4A59-4F90-BBFC-A22C2BFF425A}">
      <formula1>$I$19:$I$42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CFBC-6525-4F01-9517-2D72AACC431A}">
  <sheetPr>
    <tabColor rgb="FFFF3300"/>
    <pageSetUpPr fitToPage="1"/>
  </sheetPr>
  <dimension ref="B2:I37"/>
  <sheetViews>
    <sheetView workbookViewId="0">
      <selection activeCell="AK12" sqref="AK12"/>
    </sheetView>
  </sheetViews>
  <sheetFormatPr baseColWidth="10" defaultColWidth="11.5" defaultRowHeight="15"/>
  <cols>
    <col min="1" max="1" width="13.1640625" bestFit="1" customWidth="1"/>
    <col min="2" max="2" width="17.5" bestFit="1" customWidth="1"/>
  </cols>
  <sheetData>
    <row r="2" spans="2:9">
      <c r="B2" s="617" t="s">
        <v>1372</v>
      </c>
      <c r="C2" s="617"/>
      <c r="D2" s="617"/>
      <c r="E2" s="617"/>
      <c r="F2" s="617"/>
      <c r="G2" s="617"/>
      <c r="H2" s="617"/>
      <c r="I2" s="617"/>
    </row>
    <row r="4" spans="2:9">
      <c r="B4" t="s">
        <v>1373</v>
      </c>
    </row>
    <row r="37" spans="2:2">
      <c r="B37" t="s">
        <v>88</v>
      </c>
    </row>
  </sheetData>
  <mergeCells count="1">
    <mergeCell ref="B2:I2"/>
  </mergeCells>
  <pageMargins left="0.7" right="0.7" top="0.75" bottom="0.75" header="0.3" footer="0.3"/>
  <pageSetup paperSize="9" scale="79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7E2C-E92F-4A44-930A-16ED4462ACDF}">
  <sheetPr filterMode="1">
    <tabColor rgb="FFFF0000"/>
    <pageSetUpPr fitToPage="1"/>
  </sheetPr>
  <dimension ref="A1:CJ67"/>
  <sheetViews>
    <sheetView showWhiteSpace="0" zoomScale="70" zoomScaleNormal="70" zoomScaleSheetLayoutView="40" zoomScalePageLayoutView="50" workbookViewId="0">
      <pane xSplit="12" ySplit="7" topLeftCell="M8" activePane="bottomRight" state="frozen"/>
      <selection pane="topRight" activeCell="AO69" sqref="AO69"/>
      <selection pane="bottomLeft" activeCell="AO69" sqref="AO69"/>
      <selection pane="bottomRight" activeCell="M1" sqref="M1"/>
    </sheetView>
  </sheetViews>
  <sheetFormatPr baseColWidth="10" defaultColWidth="9.1640625" defaultRowHeight="16"/>
  <cols>
    <col min="1" max="2" width="12.33203125" style="9" customWidth="1"/>
    <col min="3" max="3" width="43.5" style="11" customWidth="1"/>
    <col min="4" max="4" width="29.6640625" style="9" customWidth="1"/>
    <col min="5" max="5" width="12.1640625" style="11" bestFit="1" customWidth="1"/>
    <col min="6" max="7" width="8.33203125" style="11" customWidth="1"/>
    <col min="8" max="9" width="12.83203125" style="30" customWidth="1"/>
    <col min="10" max="10" width="11.1640625" style="11" customWidth="1"/>
    <col min="11" max="11" width="12.1640625" style="11" customWidth="1"/>
    <col min="12" max="12" width="10.1640625" style="30" customWidth="1"/>
    <col min="13" max="64" width="8.6640625" style="3" customWidth="1"/>
    <col min="65" max="65" width="8.33203125" style="3" bestFit="1" customWidth="1"/>
    <col min="66" max="69" width="8.83203125" style="3" bestFit="1" customWidth="1"/>
    <col min="70" max="71" width="10.6640625" style="3" bestFit="1" customWidth="1"/>
    <col min="72" max="73" width="10.6640625" style="3" customWidth="1"/>
    <col min="74" max="74" width="10.6640625" style="3" bestFit="1" customWidth="1"/>
    <col min="75" max="81" width="20.6640625" style="3" customWidth="1"/>
    <col min="82" max="16384" width="9.1640625" style="3"/>
  </cols>
  <sheetData>
    <row r="1" spans="1:88" ht="30" customHeight="1" thickBot="1">
      <c r="A1" s="301" t="s">
        <v>1374</v>
      </c>
      <c r="B1" s="301"/>
      <c r="C1" s="302"/>
      <c r="D1" s="159" t="s">
        <v>1046</v>
      </c>
      <c r="E1" s="160">
        <f ca="1">TODAY()</f>
        <v>46001</v>
      </c>
      <c r="F1" s="152"/>
      <c r="G1" s="152"/>
      <c r="H1" s="156"/>
      <c r="I1" s="156"/>
      <c r="J1" s="154"/>
      <c r="K1" s="154"/>
      <c r="L1" s="164">
        <f>-282-44-33-23-178.5-175-308-194-570</f>
        <v>-1807.5</v>
      </c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2"/>
      <c r="BC1" s="152"/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152"/>
      <c r="CB1" s="152"/>
      <c r="CC1" s="152"/>
      <c r="CD1" s="152"/>
      <c r="CE1" s="152"/>
    </row>
    <row r="2" spans="1:88" ht="22" customHeight="1">
      <c r="A2" s="157"/>
      <c r="B2" s="157"/>
      <c r="C2" s="153"/>
      <c r="D2" s="161" t="s">
        <v>1047</v>
      </c>
      <c r="E2" s="162">
        <f ca="1">_xlfn.ISOWEEKNUM(E1)</f>
        <v>50</v>
      </c>
      <c r="F2" s="152"/>
      <c r="G2" s="152"/>
      <c r="H2" s="156"/>
      <c r="I2" s="156"/>
      <c r="J2" s="154"/>
      <c r="K2" s="154"/>
      <c r="L2" s="171" t="s">
        <v>1375</v>
      </c>
      <c r="M2" s="238">
        <f t="shared" ref="M2:AW2" si="0">M4/$E$3/$E$4</f>
        <v>0.796875</v>
      </c>
      <c r="N2" s="238">
        <f t="shared" si="0"/>
        <v>-7.8125E-2</v>
      </c>
      <c r="O2" s="238">
        <f t="shared" si="0"/>
        <v>0.171875</v>
      </c>
      <c r="P2" s="238">
        <f t="shared" si="0"/>
        <v>0.171875</v>
      </c>
      <c r="Q2" s="238">
        <f t="shared" si="0"/>
        <v>2.671875</v>
      </c>
      <c r="R2" s="238">
        <f t="shared" si="0"/>
        <v>1.9593750000000001</v>
      </c>
      <c r="S2" s="238">
        <f t="shared" si="0"/>
        <v>1.6031249999999999</v>
      </c>
      <c r="T2" s="238">
        <f t="shared" si="0"/>
        <v>-8.1250000000000003E-2</v>
      </c>
      <c r="U2" s="238">
        <f t="shared" si="0"/>
        <v>-0.51875000000000004</v>
      </c>
      <c r="V2" s="238">
        <f t="shared" si="0"/>
        <v>-1.1625000000000001</v>
      </c>
      <c r="W2" s="238">
        <f t="shared" si="0"/>
        <v>1.1125</v>
      </c>
      <c r="X2" s="238">
        <f t="shared" si="0"/>
        <v>-0.27500000000000002</v>
      </c>
      <c r="Y2" s="238">
        <f t="shared" si="0"/>
        <v>1.578125</v>
      </c>
      <c r="Z2" s="238">
        <f t="shared" si="0"/>
        <v>-0.19687499999999999</v>
      </c>
      <c r="AA2" s="238">
        <f t="shared" si="0"/>
        <v>1.08125</v>
      </c>
      <c r="AB2" s="238">
        <f t="shared" si="0"/>
        <v>-0.53125</v>
      </c>
      <c r="AC2" s="238">
        <f t="shared" si="0"/>
        <v>0.71875</v>
      </c>
      <c r="AD2" s="238">
        <f t="shared" si="0"/>
        <v>0.21875</v>
      </c>
      <c r="AE2" s="238">
        <f t="shared" si="0"/>
        <v>1.76875</v>
      </c>
      <c r="AF2" s="238">
        <f t="shared" si="0"/>
        <v>4.078125</v>
      </c>
      <c r="AG2" s="238">
        <f t="shared" si="0"/>
        <v>0.171875</v>
      </c>
      <c r="AH2" s="238">
        <f t="shared" si="0"/>
        <v>0.44687500000000002</v>
      </c>
      <c r="AI2" s="238">
        <f t="shared" si="0"/>
        <v>2.671875</v>
      </c>
      <c r="AJ2" s="238">
        <f t="shared" si="0"/>
        <v>2.671875</v>
      </c>
      <c r="AK2" s="238">
        <f t="shared" si="0"/>
        <v>2.671875</v>
      </c>
      <c r="AL2" s="238">
        <f t="shared" si="0"/>
        <v>0.796875</v>
      </c>
      <c r="AM2" s="238">
        <f t="shared" si="0"/>
        <v>1.5718749999999999</v>
      </c>
      <c r="AN2" s="238">
        <f t="shared" si="0"/>
        <v>1.953125</v>
      </c>
      <c r="AO2" s="238">
        <f t="shared" si="0"/>
        <v>1.953125</v>
      </c>
      <c r="AP2" s="238">
        <f t="shared" si="0"/>
        <v>0.65312499999999996</v>
      </c>
      <c r="AQ2" s="238">
        <f t="shared" si="0"/>
        <v>0.953125</v>
      </c>
      <c r="AR2" s="238">
        <f t="shared" si="0"/>
        <v>-1.65625</v>
      </c>
      <c r="AS2" s="238">
        <f t="shared" si="0"/>
        <v>-3.40625</v>
      </c>
      <c r="AT2" s="238">
        <f t="shared" si="0"/>
        <v>1.234375</v>
      </c>
      <c r="AU2" s="238">
        <f t="shared" si="0"/>
        <v>-1.0406249999999999</v>
      </c>
      <c r="AV2" s="238">
        <f t="shared" si="0"/>
        <v>2.484375</v>
      </c>
      <c r="AW2" s="238">
        <f t="shared" si="0"/>
        <v>1.734375</v>
      </c>
      <c r="AX2" s="238">
        <f>AX4/$E$3/$E$4</f>
        <v>-1.5625E-2</v>
      </c>
      <c r="AY2" s="238">
        <f t="shared" ref="AY2:BV2" si="1">AY4/$E$3/$E$4</f>
        <v>0.25937500000000002</v>
      </c>
      <c r="AZ2" s="386">
        <f t="shared" si="1"/>
        <v>5.828125</v>
      </c>
      <c r="BA2" s="238">
        <f t="shared" si="1"/>
        <v>2.828125</v>
      </c>
      <c r="BB2" s="238">
        <f t="shared" si="1"/>
        <v>9.703125</v>
      </c>
      <c r="BC2" s="238">
        <f t="shared" si="1"/>
        <v>0.15312500000000001</v>
      </c>
      <c r="BD2" s="238">
        <f t="shared" si="1"/>
        <v>2.203125</v>
      </c>
      <c r="BE2" s="238">
        <f t="shared" si="1"/>
        <v>4.453125</v>
      </c>
      <c r="BF2" s="238">
        <f t="shared" si="1"/>
        <v>5.328125</v>
      </c>
      <c r="BG2" s="238">
        <f t="shared" si="1"/>
        <v>5.953125</v>
      </c>
      <c r="BH2" s="238">
        <f t="shared" si="1"/>
        <v>7.3531250000000004</v>
      </c>
      <c r="BI2" s="238">
        <f t="shared" si="1"/>
        <v>9.078125</v>
      </c>
      <c r="BJ2" s="238">
        <f t="shared" si="1"/>
        <v>-2.0718749999999999</v>
      </c>
      <c r="BK2" s="238">
        <f t="shared" si="1"/>
        <v>0.328125</v>
      </c>
      <c r="BL2" s="239">
        <f t="shared" si="1"/>
        <v>0</v>
      </c>
      <c r="BM2" s="240">
        <f t="shared" si="1"/>
        <v>-0.27187499999999998</v>
      </c>
      <c r="BN2" s="241">
        <f t="shared" si="1"/>
        <v>-19.046875</v>
      </c>
      <c r="BO2" s="241">
        <f t="shared" si="1"/>
        <v>-11.546875</v>
      </c>
      <c r="BP2" s="241">
        <f t="shared" si="1"/>
        <v>-21.546875</v>
      </c>
      <c r="BQ2" s="241">
        <f t="shared" si="1"/>
        <v>-21.346875000000001</v>
      </c>
      <c r="BR2" s="241">
        <f t="shared" si="1"/>
        <v>-42.821874999999999</v>
      </c>
      <c r="BS2" s="241">
        <f t="shared" si="1"/>
        <v>-64.871875000000003</v>
      </c>
      <c r="BT2" s="241">
        <f t="shared" si="1"/>
        <v>-58.421875</v>
      </c>
      <c r="BU2" s="241">
        <f t="shared" si="1"/>
        <v>-55.921875</v>
      </c>
      <c r="BV2" s="242">
        <f t="shared" si="1"/>
        <v>-104.75</v>
      </c>
      <c r="BW2" s="152"/>
      <c r="BX2" s="152"/>
      <c r="BY2" s="152"/>
      <c r="BZ2" s="152"/>
      <c r="CA2" s="152"/>
      <c r="CB2" s="152"/>
      <c r="CC2" s="152"/>
      <c r="CD2" s="152"/>
      <c r="CE2" s="152"/>
    </row>
    <row r="3" spans="1:88" s="12" customFormat="1" ht="22" customHeight="1">
      <c r="A3" s="155"/>
      <c r="B3" s="155"/>
      <c r="C3" s="155"/>
      <c r="D3" s="165" t="s">
        <v>1376</v>
      </c>
      <c r="E3" s="155">
        <v>8</v>
      </c>
      <c r="F3" s="155"/>
      <c r="G3" s="155"/>
      <c r="H3" s="155"/>
      <c r="I3" s="155"/>
      <c r="J3" s="155"/>
      <c r="K3" s="155"/>
      <c r="L3" s="171" t="s">
        <v>1377</v>
      </c>
      <c r="M3" s="238">
        <f>L1+M4</f>
        <v>-1775.625</v>
      </c>
      <c r="N3" s="238">
        <f t="shared" ref="N3:BV3" si="2">M3+N4</f>
        <v>-1778.75</v>
      </c>
      <c r="O3" s="238">
        <f t="shared" si="2"/>
        <v>-1771.875</v>
      </c>
      <c r="P3" s="238">
        <f t="shared" si="2"/>
        <v>-1765</v>
      </c>
      <c r="Q3" s="238">
        <f t="shared" si="2"/>
        <v>-1658.125</v>
      </c>
      <c r="R3" s="238">
        <f t="shared" si="2"/>
        <v>-1579.75</v>
      </c>
      <c r="S3" s="238">
        <f t="shared" si="2"/>
        <v>-1515.625</v>
      </c>
      <c r="T3" s="238">
        <f t="shared" si="2"/>
        <v>-1518.875</v>
      </c>
      <c r="U3" s="238">
        <f t="shared" si="2"/>
        <v>-1539.625</v>
      </c>
      <c r="V3" s="238">
        <f t="shared" si="2"/>
        <v>-1586.125</v>
      </c>
      <c r="W3" s="238">
        <f t="shared" si="2"/>
        <v>-1541.625</v>
      </c>
      <c r="X3" s="238">
        <f t="shared" si="2"/>
        <v>-1552.625</v>
      </c>
      <c r="Y3" s="238">
        <f t="shared" si="2"/>
        <v>-1489.5</v>
      </c>
      <c r="Z3" s="238">
        <f t="shared" si="2"/>
        <v>-1497.375</v>
      </c>
      <c r="AA3" s="238">
        <f t="shared" si="2"/>
        <v>-1454.125</v>
      </c>
      <c r="AB3" s="238">
        <f t="shared" si="2"/>
        <v>-1475.375</v>
      </c>
      <c r="AC3" s="238">
        <f t="shared" si="2"/>
        <v>-1446.625</v>
      </c>
      <c r="AD3" s="238">
        <f t="shared" si="2"/>
        <v>-1437.875</v>
      </c>
      <c r="AE3" s="238">
        <f t="shared" si="2"/>
        <v>-1367.125</v>
      </c>
      <c r="AF3" s="238">
        <f t="shared" si="2"/>
        <v>-1204</v>
      </c>
      <c r="AG3" s="238">
        <f t="shared" si="2"/>
        <v>-1197.125</v>
      </c>
      <c r="AH3" s="238">
        <f t="shared" si="2"/>
        <v>-1179.25</v>
      </c>
      <c r="AI3" s="238">
        <f t="shared" si="2"/>
        <v>-1072.375</v>
      </c>
      <c r="AJ3" s="238">
        <f t="shared" si="2"/>
        <v>-965.5</v>
      </c>
      <c r="AK3" s="238">
        <f t="shared" si="2"/>
        <v>-858.625</v>
      </c>
      <c r="AL3" s="238">
        <f t="shared" si="2"/>
        <v>-826.75</v>
      </c>
      <c r="AM3" s="238">
        <f t="shared" si="2"/>
        <v>-763.875</v>
      </c>
      <c r="AN3" s="238">
        <f t="shared" si="2"/>
        <v>-685.75</v>
      </c>
      <c r="AO3" s="238">
        <f t="shared" si="2"/>
        <v>-607.625</v>
      </c>
      <c r="AP3" s="238">
        <f t="shared" si="2"/>
        <v>-581.5</v>
      </c>
      <c r="AQ3" s="238">
        <f t="shared" ref="AQ3" si="3">AP3+AQ4</f>
        <v>-543.375</v>
      </c>
      <c r="AR3" s="238">
        <f t="shared" ref="AR3" si="4">AQ3+AR4</f>
        <v>-609.625</v>
      </c>
      <c r="AS3" s="238">
        <f t="shared" si="2"/>
        <v>-745.875</v>
      </c>
      <c r="AT3" s="238">
        <f t="shared" si="2"/>
        <v>-696.5</v>
      </c>
      <c r="AU3" s="238">
        <f t="shared" si="2"/>
        <v>-738.125</v>
      </c>
      <c r="AV3" s="238">
        <f t="shared" si="2"/>
        <v>-638.75</v>
      </c>
      <c r="AW3" s="238">
        <f t="shared" si="2"/>
        <v>-569.375</v>
      </c>
      <c r="AX3" s="238">
        <f t="shared" si="2"/>
        <v>-570</v>
      </c>
      <c r="AY3" s="238">
        <f t="shared" si="2"/>
        <v>-559.625</v>
      </c>
      <c r="AZ3" s="238">
        <f t="shared" si="2"/>
        <v>-326.5</v>
      </c>
      <c r="BA3" s="238">
        <f t="shared" si="2"/>
        <v>-213.375</v>
      </c>
      <c r="BB3" s="238">
        <f t="shared" si="2"/>
        <v>174.75</v>
      </c>
      <c r="BC3" s="238">
        <f t="shared" si="2"/>
        <v>180.875</v>
      </c>
      <c r="BD3" s="238">
        <f t="shared" si="2"/>
        <v>269</v>
      </c>
      <c r="BE3" s="238">
        <f t="shared" si="2"/>
        <v>447.125</v>
      </c>
      <c r="BF3" s="238">
        <f t="shared" si="2"/>
        <v>660.25</v>
      </c>
      <c r="BG3" s="238">
        <f t="shared" si="2"/>
        <v>898.375</v>
      </c>
      <c r="BH3" s="238">
        <f t="shared" si="2"/>
        <v>1192.5</v>
      </c>
      <c r="BI3" s="238">
        <f t="shared" si="2"/>
        <v>1555.625</v>
      </c>
      <c r="BJ3" s="238">
        <f t="shared" si="2"/>
        <v>1472.75</v>
      </c>
      <c r="BK3" s="238">
        <f t="shared" si="2"/>
        <v>1485.875</v>
      </c>
      <c r="BL3" s="239">
        <f t="shared" si="2"/>
        <v>1485.875</v>
      </c>
      <c r="BM3" s="362">
        <f t="shared" si="2"/>
        <v>1475</v>
      </c>
      <c r="BN3" s="238">
        <f t="shared" si="2"/>
        <v>713.125</v>
      </c>
      <c r="BO3" s="238">
        <f t="shared" si="2"/>
        <v>251.25</v>
      </c>
      <c r="BP3" s="238">
        <f t="shared" si="2"/>
        <v>-610.625</v>
      </c>
      <c r="BQ3" s="238">
        <f t="shared" si="2"/>
        <v>-1464.5</v>
      </c>
      <c r="BR3" s="238">
        <f t="shared" si="2"/>
        <v>-3177.375</v>
      </c>
      <c r="BS3" s="238">
        <f t="shared" si="2"/>
        <v>-5772.25</v>
      </c>
      <c r="BT3" s="238">
        <f t="shared" si="2"/>
        <v>-8109.125</v>
      </c>
      <c r="BU3" s="238">
        <f t="shared" si="2"/>
        <v>-10346</v>
      </c>
      <c r="BV3" s="363">
        <f t="shared" si="2"/>
        <v>-14536</v>
      </c>
      <c r="BW3" s="155"/>
      <c r="BX3" s="155"/>
      <c r="BY3" s="155"/>
      <c r="BZ3" s="155"/>
      <c r="CA3" s="155"/>
      <c r="CB3" s="155"/>
      <c r="CC3" s="155"/>
      <c r="CD3" s="155"/>
      <c r="CE3" s="155"/>
    </row>
    <row r="4" spans="1:88" s="12" customFormat="1" ht="22" customHeight="1">
      <c r="A4" s="155"/>
      <c r="B4" s="155"/>
      <c r="C4" s="155"/>
      <c r="D4" s="165" t="s">
        <v>1378</v>
      </c>
      <c r="E4" s="155">
        <v>5</v>
      </c>
      <c r="F4" s="155"/>
      <c r="G4" s="155"/>
      <c r="H4" s="155"/>
      <c r="I4" s="155"/>
      <c r="J4" s="155"/>
      <c r="K4" s="155"/>
      <c r="L4" s="172" t="s">
        <v>1379</v>
      </c>
      <c r="M4" s="13">
        <f>M5-M6</f>
        <v>31.875</v>
      </c>
      <c r="N4" s="13">
        <f t="shared" ref="N4:BV4" si="5">N5-N6</f>
        <v>-3.125</v>
      </c>
      <c r="O4" s="13">
        <f t="shared" si="5"/>
        <v>6.875</v>
      </c>
      <c r="P4" s="13">
        <f t="shared" si="5"/>
        <v>6.875</v>
      </c>
      <c r="Q4" s="13">
        <f t="shared" si="5"/>
        <v>106.875</v>
      </c>
      <c r="R4" s="13">
        <f t="shared" si="5"/>
        <v>78.375</v>
      </c>
      <c r="S4" s="13">
        <f t="shared" si="5"/>
        <v>64.125</v>
      </c>
      <c r="T4" s="13">
        <f t="shared" si="5"/>
        <v>-3.25</v>
      </c>
      <c r="U4" s="13">
        <f t="shared" si="5"/>
        <v>-20.75</v>
      </c>
      <c r="V4" s="13">
        <f t="shared" si="5"/>
        <v>-46.5</v>
      </c>
      <c r="W4" s="13">
        <f t="shared" si="5"/>
        <v>44.5</v>
      </c>
      <c r="X4" s="13">
        <f t="shared" si="5"/>
        <v>-11</v>
      </c>
      <c r="Y4" s="13">
        <f t="shared" si="5"/>
        <v>63.125</v>
      </c>
      <c r="Z4" s="13">
        <f t="shared" si="5"/>
        <v>-7.875</v>
      </c>
      <c r="AA4" s="13">
        <f t="shared" si="5"/>
        <v>43.25</v>
      </c>
      <c r="AB4" s="13">
        <f t="shared" si="5"/>
        <v>-21.25</v>
      </c>
      <c r="AC4" s="13">
        <f t="shared" si="5"/>
        <v>28.75</v>
      </c>
      <c r="AD4" s="13">
        <f t="shared" si="5"/>
        <v>8.75</v>
      </c>
      <c r="AE4" s="13">
        <f t="shared" si="5"/>
        <v>70.75</v>
      </c>
      <c r="AF4" s="13">
        <f t="shared" si="5"/>
        <v>163.125</v>
      </c>
      <c r="AG4" s="13">
        <f t="shared" si="5"/>
        <v>6.875</v>
      </c>
      <c r="AH4" s="13">
        <f t="shared" si="5"/>
        <v>17.875</v>
      </c>
      <c r="AI4" s="13">
        <f t="shared" si="5"/>
        <v>106.875</v>
      </c>
      <c r="AJ4" s="13">
        <f t="shared" si="5"/>
        <v>106.875</v>
      </c>
      <c r="AK4" s="13">
        <f t="shared" si="5"/>
        <v>106.875</v>
      </c>
      <c r="AL4" s="13">
        <f t="shared" si="5"/>
        <v>31.875</v>
      </c>
      <c r="AM4" s="13">
        <f t="shared" si="5"/>
        <v>62.875</v>
      </c>
      <c r="AN4" s="13">
        <f t="shared" si="5"/>
        <v>78.125</v>
      </c>
      <c r="AO4" s="13">
        <f t="shared" si="5"/>
        <v>78.125</v>
      </c>
      <c r="AP4" s="13">
        <f t="shared" si="5"/>
        <v>26.125</v>
      </c>
      <c r="AQ4" s="13">
        <f t="shared" si="5"/>
        <v>38.125</v>
      </c>
      <c r="AR4" s="13">
        <f t="shared" si="5"/>
        <v>-66.25</v>
      </c>
      <c r="AS4" s="13">
        <f t="shared" si="5"/>
        <v>-136.25</v>
      </c>
      <c r="AT4" s="13">
        <f t="shared" si="5"/>
        <v>49.375</v>
      </c>
      <c r="AU4" s="13">
        <f t="shared" si="5"/>
        <v>-41.625</v>
      </c>
      <c r="AV4" s="13">
        <f t="shared" si="5"/>
        <v>99.375</v>
      </c>
      <c r="AW4" s="13">
        <f t="shared" si="5"/>
        <v>69.375</v>
      </c>
      <c r="AX4" s="13">
        <f t="shared" si="5"/>
        <v>-0.625</v>
      </c>
      <c r="AY4" s="13">
        <f t="shared" si="5"/>
        <v>10.375</v>
      </c>
      <c r="AZ4" s="13">
        <f t="shared" si="5"/>
        <v>233.125</v>
      </c>
      <c r="BA4" s="13">
        <f t="shared" si="5"/>
        <v>113.125</v>
      </c>
      <c r="BB4" s="13">
        <f t="shared" si="5"/>
        <v>388.125</v>
      </c>
      <c r="BC4" s="13">
        <f t="shared" si="5"/>
        <v>6.125</v>
      </c>
      <c r="BD4" s="13">
        <f t="shared" si="5"/>
        <v>88.125</v>
      </c>
      <c r="BE4" s="13">
        <f t="shared" si="5"/>
        <v>178.125</v>
      </c>
      <c r="BF4" s="13">
        <f t="shared" si="5"/>
        <v>213.125</v>
      </c>
      <c r="BG4" s="13">
        <f t="shared" si="5"/>
        <v>238.125</v>
      </c>
      <c r="BH4" s="13">
        <f t="shared" si="5"/>
        <v>294.125</v>
      </c>
      <c r="BI4" s="13">
        <f t="shared" si="5"/>
        <v>363.125</v>
      </c>
      <c r="BJ4" s="13">
        <f t="shared" si="5"/>
        <v>-82.875</v>
      </c>
      <c r="BK4" s="13">
        <f t="shared" si="5"/>
        <v>13.125</v>
      </c>
      <c r="BL4" s="203">
        <f t="shared" si="5"/>
        <v>0</v>
      </c>
      <c r="BM4" s="204">
        <f t="shared" si="5"/>
        <v>-10.875</v>
      </c>
      <c r="BN4" s="13">
        <f t="shared" si="5"/>
        <v>-761.875</v>
      </c>
      <c r="BO4" s="13">
        <f t="shared" si="5"/>
        <v>-461.875</v>
      </c>
      <c r="BP4" s="13">
        <f t="shared" si="5"/>
        <v>-861.875</v>
      </c>
      <c r="BQ4" s="13">
        <f t="shared" si="5"/>
        <v>-853.875</v>
      </c>
      <c r="BR4" s="13">
        <f t="shared" si="5"/>
        <v>-1712.875</v>
      </c>
      <c r="BS4" s="13">
        <f t="shared" si="5"/>
        <v>-2594.875</v>
      </c>
      <c r="BT4" s="13">
        <f t="shared" si="5"/>
        <v>-2336.875</v>
      </c>
      <c r="BU4" s="13">
        <f t="shared" si="5"/>
        <v>-2236.875</v>
      </c>
      <c r="BV4" s="205">
        <f t="shared" si="5"/>
        <v>-4190</v>
      </c>
      <c r="BW4" s="198"/>
      <c r="BX4" s="198"/>
      <c r="BY4" s="198"/>
      <c r="BZ4" s="198"/>
      <c r="CA4" s="198"/>
      <c r="CB4" s="198"/>
      <c r="CC4" s="198"/>
      <c r="CD4" s="198"/>
      <c r="CE4" s="198"/>
      <c r="CF4" s="14"/>
      <c r="CG4" s="14"/>
      <c r="CH4" s="14"/>
      <c r="CI4" s="14"/>
      <c r="CJ4" s="14"/>
    </row>
    <row r="5" spans="1:88" ht="21.5" customHeight="1">
      <c r="A5" s="157"/>
      <c r="B5" s="157"/>
      <c r="C5" s="168"/>
      <c r="D5" s="157"/>
      <c r="E5" s="152"/>
      <c r="F5" s="152"/>
      <c r="G5" s="152"/>
      <c r="H5" s="157"/>
      <c r="I5" s="157"/>
      <c r="J5" s="152"/>
      <c r="K5" s="152"/>
      <c r="L5" s="173" t="s">
        <v>1380</v>
      </c>
      <c r="M5" s="230">
        <f>'Mont- Bemanning'!C3</f>
        <v>106.875</v>
      </c>
      <c r="N5" s="230">
        <f>'Mont- Bemanning'!D3</f>
        <v>106.875</v>
      </c>
      <c r="O5" s="230">
        <f>'Mont- Bemanning'!E3</f>
        <v>106.875</v>
      </c>
      <c r="P5" s="230">
        <f>'Mont- Bemanning'!F3</f>
        <v>106.875</v>
      </c>
      <c r="Q5" s="230">
        <f>'Mont- Bemanning'!G3</f>
        <v>106.875</v>
      </c>
      <c r="R5" s="230">
        <f>'Mont- Bemanning'!H3</f>
        <v>78.375</v>
      </c>
      <c r="S5" s="230">
        <f>'Mont- Bemanning'!I3</f>
        <v>64.125</v>
      </c>
      <c r="T5" s="230">
        <f>'Mont- Bemanning'!J3</f>
        <v>99.75</v>
      </c>
      <c r="U5" s="230">
        <f>'Mont- Bemanning'!K3</f>
        <v>128.25</v>
      </c>
      <c r="V5" s="230">
        <f>'Mont- Bemanning'!L3</f>
        <v>142.5</v>
      </c>
      <c r="W5" s="230">
        <f>'Mont- Bemanning'!M3</f>
        <v>142.5</v>
      </c>
      <c r="X5" s="230">
        <f>'Mont- Bemanning'!N3</f>
        <v>142.5</v>
      </c>
      <c r="Y5" s="230">
        <f>'Mont- Bemanning'!O3</f>
        <v>178.125</v>
      </c>
      <c r="Z5" s="230">
        <f>'Mont- Bemanning'!P3</f>
        <v>35.625</v>
      </c>
      <c r="AA5" s="230">
        <f>'Mont- Bemanning'!Q3</f>
        <v>185.25</v>
      </c>
      <c r="AB5" s="230">
        <f>'Mont- Bemanning'!R3</f>
        <v>213.75</v>
      </c>
      <c r="AC5" s="230">
        <f>'Mont- Bemanning'!S3</f>
        <v>213.75</v>
      </c>
      <c r="AD5" s="230">
        <f>'Mont- Bemanning'!T3</f>
        <v>213.75</v>
      </c>
      <c r="AE5" s="230">
        <f>'Mont- Bemanning'!U3</f>
        <v>213.75</v>
      </c>
      <c r="AF5" s="230">
        <f>'Mont- Bemanning'!V3</f>
        <v>178.125</v>
      </c>
      <c r="AG5" s="230">
        <f>'Mont- Bemanning'!W3</f>
        <v>106.875</v>
      </c>
      <c r="AH5" s="230">
        <f>'Mont- Bemanning'!X3</f>
        <v>106.875</v>
      </c>
      <c r="AI5" s="230">
        <f>'Mont- Bemanning'!Y3</f>
        <v>106.875</v>
      </c>
      <c r="AJ5" s="230">
        <f>'Mont- Bemanning'!Z3</f>
        <v>106.875</v>
      </c>
      <c r="AK5" s="230">
        <f>'Mont- Bemanning'!AA3</f>
        <v>106.875</v>
      </c>
      <c r="AL5" s="230">
        <f>'Mont- Bemanning'!AB3</f>
        <v>106.875</v>
      </c>
      <c r="AM5" s="230">
        <f>'Mont- Bemanning'!AC3</f>
        <v>106.875</v>
      </c>
      <c r="AN5" s="230">
        <f>'Mont- Bemanning'!AD3</f>
        <v>178.125</v>
      </c>
      <c r="AO5" s="230">
        <f>'Mont- Bemanning'!AE3</f>
        <v>178.125</v>
      </c>
      <c r="AP5" s="230">
        <f>'Mont- Bemanning'!AF3</f>
        <v>178.125</v>
      </c>
      <c r="AQ5" s="230">
        <f>'Mont- Bemanning'!AG3</f>
        <v>178.125</v>
      </c>
      <c r="AR5" s="230">
        <f>'Mont- Bemanning'!AH3</f>
        <v>213.75</v>
      </c>
      <c r="AS5" s="230">
        <f>'Mont- Bemanning'!AI3</f>
        <v>213.75</v>
      </c>
      <c r="AT5" s="230">
        <f>'Mont- Bemanning'!AJ3</f>
        <v>249.375</v>
      </c>
      <c r="AU5" s="230">
        <f>'Mont- Bemanning'!AK3</f>
        <v>249.375</v>
      </c>
      <c r="AV5" s="230">
        <f>'Mont- Bemanning'!AL3</f>
        <v>249.375</v>
      </c>
      <c r="AW5" s="230">
        <f>'Mont- Bemanning'!AM3</f>
        <v>249.375</v>
      </c>
      <c r="AX5" s="230">
        <f>'Mont- Bemanning'!AN3</f>
        <v>249.375</v>
      </c>
      <c r="AY5" s="230">
        <f>'Mont- Bemanning'!AO3</f>
        <v>249.375</v>
      </c>
      <c r="AZ5" s="230">
        <f>'Mont- Bemanning'!AP3</f>
        <v>463.125</v>
      </c>
      <c r="BA5" s="230">
        <f>'Mont- Bemanning'!AQ3</f>
        <v>463.125</v>
      </c>
      <c r="BB5" s="230">
        <f>'Mont- Bemanning'!AR3</f>
        <v>463.125</v>
      </c>
      <c r="BC5" s="230">
        <f>'Mont- Bemanning'!AS3</f>
        <v>463.125</v>
      </c>
      <c r="BD5" s="230">
        <f>'Mont- Bemanning'!AT3</f>
        <v>463.125</v>
      </c>
      <c r="BE5" s="230">
        <f>'Mont- Bemanning'!AU3</f>
        <v>463.125</v>
      </c>
      <c r="BF5" s="230">
        <f>'Mont- Bemanning'!AV3</f>
        <v>463.125</v>
      </c>
      <c r="BG5" s="230">
        <f>'Mont- Bemanning'!AW3</f>
        <v>463.125</v>
      </c>
      <c r="BH5" s="230">
        <f>'Mont- Bemanning'!AX3</f>
        <v>463.125</v>
      </c>
      <c r="BI5" s="230">
        <f>'Mont- Bemanning'!AY3</f>
        <v>463.125</v>
      </c>
      <c r="BJ5" s="230">
        <f>'Mont- Bemanning'!AZ3</f>
        <v>463.125</v>
      </c>
      <c r="BK5" s="230">
        <f>'Mont- Bemanning'!BA3</f>
        <v>463.125</v>
      </c>
      <c r="BL5" s="231">
        <f>'Mont- Bemanning'!BB3</f>
        <v>0</v>
      </c>
      <c r="BM5" s="232">
        <f>'Mont- Bemanning'!BC3</f>
        <v>463.125</v>
      </c>
      <c r="BN5" s="230">
        <f>'Mont- Bemanning'!BD3</f>
        <v>463.125</v>
      </c>
      <c r="BO5" s="230">
        <f>'Mont- Bemanning'!BE3</f>
        <v>463.125</v>
      </c>
      <c r="BP5" s="230">
        <f>'Mont- Bemanning'!BF3</f>
        <v>463.125</v>
      </c>
      <c r="BQ5" s="230">
        <f>'Mont- Bemanning'!BG3</f>
        <v>463.125</v>
      </c>
      <c r="BR5" s="230">
        <f>'Mont- Bemanning'!BH3</f>
        <v>463.125</v>
      </c>
      <c r="BS5" s="230">
        <f>'Mont- Bemanning'!BI3</f>
        <v>463.125</v>
      </c>
      <c r="BT5" s="230">
        <f>'Mont- Bemanning'!BJ3</f>
        <v>463.125</v>
      </c>
      <c r="BU5" s="230">
        <f>'Mont- Bemanning'!BK3</f>
        <v>463.125</v>
      </c>
      <c r="BV5" s="233">
        <f>'Mont- Bemanning'!BL3</f>
        <v>0</v>
      </c>
      <c r="BW5" s="158"/>
      <c r="BX5" s="158"/>
      <c r="BY5" s="158"/>
      <c r="BZ5" s="158"/>
      <c r="CA5" s="158"/>
      <c r="CB5" s="158"/>
      <c r="CC5" s="158"/>
      <c r="CD5" s="158"/>
      <c r="CE5" s="158"/>
      <c r="CF5" s="10"/>
      <c r="CG5" s="10"/>
      <c r="CH5" s="10"/>
      <c r="CI5" s="10"/>
      <c r="CJ5" s="10"/>
    </row>
    <row r="6" spans="1:88" s="12" customFormat="1" ht="22" customHeight="1" thickBot="1">
      <c r="A6" s="169"/>
      <c r="B6" s="169"/>
      <c r="C6" s="169"/>
      <c r="D6" s="163">
        <f>SUBTOTAL(3,D9:D42)</f>
        <v>29</v>
      </c>
      <c r="E6" s="155"/>
      <c r="F6" s="320">
        <f>SUM(F9:F42)</f>
        <v>28603</v>
      </c>
      <c r="G6" s="320">
        <f>SUM(G9:G42)</f>
        <v>124335</v>
      </c>
      <c r="H6" s="169"/>
      <c r="I6" s="169"/>
      <c r="J6" s="169"/>
      <c r="K6" s="169"/>
      <c r="L6" s="206" t="s">
        <v>1381</v>
      </c>
      <c r="M6" s="234">
        <f t="shared" ref="M6:AR6" si="6">SUM(M9:M42)</f>
        <v>75</v>
      </c>
      <c r="N6" s="234">
        <f t="shared" si="6"/>
        <v>110</v>
      </c>
      <c r="O6" s="234">
        <f t="shared" si="6"/>
        <v>100</v>
      </c>
      <c r="P6" s="234">
        <f t="shared" si="6"/>
        <v>100</v>
      </c>
      <c r="Q6" s="234">
        <f t="shared" si="6"/>
        <v>0</v>
      </c>
      <c r="R6" s="234">
        <f t="shared" si="6"/>
        <v>0</v>
      </c>
      <c r="S6" s="234">
        <f t="shared" si="6"/>
        <v>0</v>
      </c>
      <c r="T6" s="234">
        <f t="shared" si="6"/>
        <v>103</v>
      </c>
      <c r="U6" s="234">
        <f t="shared" si="6"/>
        <v>149</v>
      </c>
      <c r="V6" s="234">
        <f t="shared" si="6"/>
        <v>189</v>
      </c>
      <c r="W6" s="234">
        <f t="shared" si="6"/>
        <v>98</v>
      </c>
      <c r="X6" s="234">
        <f t="shared" si="6"/>
        <v>153.5</v>
      </c>
      <c r="Y6" s="234">
        <f t="shared" si="6"/>
        <v>115</v>
      </c>
      <c r="Z6" s="234">
        <f t="shared" si="6"/>
        <v>43.5</v>
      </c>
      <c r="AA6" s="234">
        <f t="shared" si="6"/>
        <v>142</v>
      </c>
      <c r="AB6" s="234">
        <f t="shared" si="6"/>
        <v>235</v>
      </c>
      <c r="AC6" s="234">
        <f t="shared" si="6"/>
        <v>185</v>
      </c>
      <c r="AD6" s="234">
        <f t="shared" si="6"/>
        <v>205</v>
      </c>
      <c r="AE6" s="234">
        <f t="shared" si="6"/>
        <v>143</v>
      </c>
      <c r="AF6" s="234">
        <f t="shared" si="6"/>
        <v>15</v>
      </c>
      <c r="AG6" s="234">
        <f t="shared" si="6"/>
        <v>100</v>
      </c>
      <c r="AH6" s="234">
        <f t="shared" si="6"/>
        <v>89</v>
      </c>
      <c r="AI6" s="234">
        <f t="shared" si="6"/>
        <v>0</v>
      </c>
      <c r="AJ6" s="234">
        <f t="shared" si="6"/>
        <v>0</v>
      </c>
      <c r="AK6" s="234">
        <f t="shared" si="6"/>
        <v>0</v>
      </c>
      <c r="AL6" s="234">
        <f t="shared" si="6"/>
        <v>75</v>
      </c>
      <c r="AM6" s="234">
        <f t="shared" si="6"/>
        <v>44</v>
      </c>
      <c r="AN6" s="234">
        <f t="shared" si="6"/>
        <v>100</v>
      </c>
      <c r="AO6" s="234">
        <f t="shared" si="6"/>
        <v>100</v>
      </c>
      <c r="AP6" s="234">
        <f t="shared" si="6"/>
        <v>152</v>
      </c>
      <c r="AQ6" s="234">
        <f t="shared" si="6"/>
        <v>140</v>
      </c>
      <c r="AR6" s="234">
        <f t="shared" si="6"/>
        <v>280</v>
      </c>
      <c r="AS6" s="234">
        <f t="shared" ref="AS6:BV6" si="7">SUM(AS9:AS42)</f>
        <v>350</v>
      </c>
      <c r="AT6" s="234">
        <f t="shared" si="7"/>
        <v>200</v>
      </c>
      <c r="AU6" s="234">
        <f t="shared" si="7"/>
        <v>291</v>
      </c>
      <c r="AV6" s="234">
        <f t="shared" si="7"/>
        <v>150</v>
      </c>
      <c r="AW6" s="234">
        <f t="shared" si="7"/>
        <v>180</v>
      </c>
      <c r="AX6" s="234">
        <f t="shared" si="7"/>
        <v>250</v>
      </c>
      <c r="AY6" s="234">
        <f t="shared" si="7"/>
        <v>239</v>
      </c>
      <c r="AZ6" s="234">
        <f t="shared" si="7"/>
        <v>230</v>
      </c>
      <c r="BA6" s="234">
        <f t="shared" si="7"/>
        <v>350</v>
      </c>
      <c r="BB6" s="234">
        <f t="shared" si="7"/>
        <v>75</v>
      </c>
      <c r="BC6" s="234">
        <f t="shared" si="7"/>
        <v>457</v>
      </c>
      <c r="BD6" s="234">
        <f t="shared" si="7"/>
        <v>375</v>
      </c>
      <c r="BE6" s="234">
        <f t="shared" si="7"/>
        <v>285</v>
      </c>
      <c r="BF6" s="234">
        <f t="shared" si="7"/>
        <v>250</v>
      </c>
      <c r="BG6" s="234">
        <f t="shared" si="7"/>
        <v>225</v>
      </c>
      <c r="BH6" s="234">
        <f t="shared" si="7"/>
        <v>169</v>
      </c>
      <c r="BI6" s="234">
        <f t="shared" si="7"/>
        <v>100</v>
      </c>
      <c r="BJ6" s="234">
        <f t="shared" si="7"/>
        <v>546</v>
      </c>
      <c r="BK6" s="234">
        <f t="shared" si="7"/>
        <v>450</v>
      </c>
      <c r="BL6" s="235">
        <f t="shared" si="7"/>
        <v>0</v>
      </c>
      <c r="BM6" s="236">
        <f t="shared" si="7"/>
        <v>474</v>
      </c>
      <c r="BN6" s="234">
        <f t="shared" si="7"/>
        <v>1225</v>
      </c>
      <c r="BO6" s="234">
        <f t="shared" si="7"/>
        <v>925</v>
      </c>
      <c r="BP6" s="234">
        <f t="shared" si="7"/>
        <v>1325</v>
      </c>
      <c r="BQ6" s="234">
        <f t="shared" si="7"/>
        <v>1317</v>
      </c>
      <c r="BR6" s="234">
        <f t="shared" si="7"/>
        <v>2176</v>
      </c>
      <c r="BS6" s="234">
        <f t="shared" si="7"/>
        <v>3058</v>
      </c>
      <c r="BT6" s="234">
        <f t="shared" si="7"/>
        <v>2800</v>
      </c>
      <c r="BU6" s="234">
        <f t="shared" si="7"/>
        <v>2700</v>
      </c>
      <c r="BV6" s="237">
        <f t="shared" si="7"/>
        <v>4190</v>
      </c>
      <c r="BW6" s="155"/>
      <c r="BX6" s="247"/>
      <c r="BY6" s="155"/>
      <c r="BZ6" s="165"/>
      <c r="CA6" s="155"/>
      <c r="CB6" s="155"/>
      <c r="CC6" s="155"/>
      <c r="CD6" s="155"/>
      <c r="CE6" s="155"/>
    </row>
    <row r="7" spans="1:88" s="12" customFormat="1" ht="47.25" customHeight="1" thickBot="1">
      <c r="A7" s="73" t="s">
        <v>1048</v>
      </c>
      <c r="B7" s="73" t="s">
        <v>7</v>
      </c>
      <c r="C7" s="74" t="s">
        <v>1049</v>
      </c>
      <c r="D7" s="15" t="s">
        <v>1050</v>
      </c>
      <c r="E7" s="16" t="s">
        <v>1382</v>
      </c>
      <c r="F7" s="17" t="s">
        <v>1383</v>
      </c>
      <c r="G7" s="17" t="s">
        <v>6</v>
      </c>
      <c r="H7" s="75" t="s">
        <v>1384</v>
      </c>
      <c r="I7" s="37" t="s">
        <v>1385</v>
      </c>
      <c r="J7" s="37" t="s">
        <v>1386</v>
      </c>
      <c r="K7" s="37" t="s">
        <v>1387</v>
      </c>
      <c r="L7" s="37" t="s">
        <v>1388</v>
      </c>
      <c r="M7" s="218">
        <v>1</v>
      </c>
      <c r="N7" s="218">
        <v>2</v>
      </c>
      <c r="O7" s="218">
        <v>3</v>
      </c>
      <c r="P7" s="218">
        <v>4</v>
      </c>
      <c r="Q7" s="218">
        <v>5</v>
      </c>
      <c r="R7" s="218">
        <v>6</v>
      </c>
      <c r="S7" s="218">
        <v>7</v>
      </c>
      <c r="T7" s="218">
        <v>8</v>
      </c>
      <c r="U7" s="218">
        <v>9</v>
      </c>
      <c r="V7" s="218">
        <v>10</v>
      </c>
      <c r="W7" s="218">
        <v>11</v>
      </c>
      <c r="X7" s="218">
        <v>12</v>
      </c>
      <c r="Y7" s="218">
        <v>13</v>
      </c>
      <c r="Z7" s="218">
        <v>14</v>
      </c>
      <c r="AA7" s="218">
        <v>15</v>
      </c>
      <c r="AB7" s="218">
        <v>16</v>
      </c>
      <c r="AC7" s="218">
        <v>17</v>
      </c>
      <c r="AD7" s="218">
        <v>18</v>
      </c>
      <c r="AE7" s="218">
        <v>19</v>
      </c>
      <c r="AF7" s="218">
        <v>20</v>
      </c>
      <c r="AG7" s="218">
        <v>21</v>
      </c>
      <c r="AH7" s="218">
        <v>22</v>
      </c>
      <c r="AI7" s="218">
        <v>23</v>
      </c>
      <c r="AJ7" s="218">
        <v>24</v>
      </c>
      <c r="AK7" s="218">
        <v>25</v>
      </c>
      <c r="AL7" s="218">
        <v>26</v>
      </c>
      <c r="AM7" s="218">
        <v>27</v>
      </c>
      <c r="AN7" s="218">
        <v>28</v>
      </c>
      <c r="AO7" s="218">
        <v>29</v>
      </c>
      <c r="AP7" s="218">
        <v>30</v>
      </c>
      <c r="AQ7" s="218">
        <v>31</v>
      </c>
      <c r="AR7" s="218">
        <v>32</v>
      </c>
      <c r="AS7" s="218">
        <v>33</v>
      </c>
      <c r="AT7" s="218">
        <v>34</v>
      </c>
      <c r="AU7" s="218">
        <v>35</v>
      </c>
      <c r="AV7" s="218">
        <v>36</v>
      </c>
      <c r="AW7" s="218">
        <v>37</v>
      </c>
      <c r="AX7" s="218">
        <v>38</v>
      </c>
      <c r="AY7" s="218">
        <v>39</v>
      </c>
      <c r="AZ7" s="218">
        <v>40</v>
      </c>
      <c r="BA7" s="218">
        <v>41</v>
      </c>
      <c r="BB7" s="218">
        <v>42</v>
      </c>
      <c r="BC7" s="218">
        <v>43</v>
      </c>
      <c r="BD7" s="218">
        <v>44</v>
      </c>
      <c r="BE7" s="218">
        <v>45</v>
      </c>
      <c r="BF7" s="218">
        <v>46</v>
      </c>
      <c r="BG7" s="218">
        <v>47</v>
      </c>
      <c r="BH7" s="218">
        <v>48</v>
      </c>
      <c r="BI7" s="218">
        <v>49</v>
      </c>
      <c r="BJ7" s="218">
        <v>50</v>
      </c>
      <c r="BK7" s="218">
        <v>51</v>
      </c>
      <c r="BL7" s="361">
        <v>52</v>
      </c>
      <c r="BM7" s="364" t="s">
        <v>1389</v>
      </c>
      <c r="BN7" s="218" t="s">
        <v>1390</v>
      </c>
      <c r="BO7" s="218" t="s">
        <v>1391</v>
      </c>
      <c r="BP7" s="218" t="s">
        <v>1392</v>
      </c>
      <c r="BQ7" s="218" t="s">
        <v>1393</v>
      </c>
      <c r="BR7" s="218" t="s">
        <v>1394</v>
      </c>
      <c r="BS7" s="218" t="s">
        <v>1395</v>
      </c>
      <c r="BT7" s="218" t="s">
        <v>1396</v>
      </c>
      <c r="BU7" s="218" t="s">
        <v>1397</v>
      </c>
      <c r="BV7" s="365" t="s">
        <v>1398</v>
      </c>
      <c r="BW7" s="155"/>
      <c r="BX7" s="155"/>
      <c r="BY7" s="155"/>
      <c r="BZ7" s="155"/>
      <c r="CA7" s="155"/>
      <c r="CB7" s="155"/>
      <c r="CC7" s="155"/>
      <c r="CD7" s="155"/>
      <c r="CE7" s="155"/>
    </row>
    <row r="8" spans="1:88" s="12" customFormat="1" ht="16.25" customHeight="1" thickBot="1">
      <c r="A8" s="94"/>
      <c r="B8" s="94"/>
      <c r="C8" s="95" t="s">
        <v>1077</v>
      </c>
      <c r="D8" s="96"/>
      <c r="E8" s="97"/>
      <c r="F8" s="98"/>
      <c r="G8" s="98"/>
      <c r="H8" s="38"/>
      <c r="I8" s="39"/>
      <c r="J8" s="98"/>
      <c r="K8" s="99"/>
      <c r="L8" s="89"/>
      <c r="M8" s="100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65"/>
      <c r="BN8" s="66"/>
      <c r="BO8" s="66"/>
      <c r="BP8" s="66"/>
      <c r="BQ8" s="66"/>
      <c r="BR8" s="66"/>
      <c r="BS8" s="66"/>
      <c r="BT8" s="66"/>
      <c r="BU8" s="66"/>
      <c r="BV8" s="67"/>
      <c r="BW8" s="155"/>
      <c r="BX8" s="155"/>
      <c r="BY8" s="155"/>
      <c r="BZ8" s="155"/>
      <c r="CA8" s="155"/>
      <c r="CB8" s="155"/>
      <c r="CC8" s="155"/>
      <c r="CD8" s="155"/>
      <c r="CE8" s="155"/>
    </row>
    <row r="9" spans="1:88" ht="20" hidden="1" customHeight="1">
      <c r="A9" s="64">
        <v>22001</v>
      </c>
      <c r="B9" s="347" t="s">
        <v>471</v>
      </c>
      <c r="C9" s="90" t="s">
        <v>1078</v>
      </c>
      <c r="D9" s="64" t="s">
        <v>44</v>
      </c>
      <c r="E9" s="91" t="s">
        <v>1399</v>
      </c>
      <c r="F9" s="318">
        <v>356</v>
      </c>
      <c r="G9" s="317">
        <v>1620</v>
      </c>
      <c r="H9" s="150">
        <v>1</v>
      </c>
      <c r="I9" s="92">
        <v>12</v>
      </c>
      <c r="J9" s="102">
        <f t="shared" ref="J9:J42" si="8">SUM(M9:BL9)</f>
        <v>356</v>
      </c>
      <c r="K9" s="93">
        <f t="shared" ref="K9:K42" si="9">SUM(BM9:BV9)</f>
        <v>0</v>
      </c>
      <c r="L9" s="88">
        <f t="shared" ref="L9:L42" si="10">F9-J9-K9</f>
        <v>0</v>
      </c>
      <c r="M9" s="27">
        <v>15</v>
      </c>
      <c r="N9" s="40">
        <v>96</v>
      </c>
      <c r="O9" s="40">
        <v>100</v>
      </c>
      <c r="P9" s="40">
        <v>100</v>
      </c>
      <c r="Q9" s="40"/>
      <c r="R9" s="40"/>
      <c r="S9" s="40"/>
      <c r="T9" s="40"/>
      <c r="U9" s="40"/>
      <c r="V9" s="40"/>
      <c r="W9" s="337">
        <v>45</v>
      </c>
      <c r="X9" s="40"/>
      <c r="Y9" s="40"/>
      <c r="Z9" s="254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254"/>
      <c r="AO9" s="254"/>
      <c r="AP9" s="254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248"/>
      <c r="BM9" s="366"/>
      <c r="BN9" s="367"/>
      <c r="BO9" s="367"/>
      <c r="BP9" s="367"/>
      <c r="BQ9" s="367"/>
      <c r="BR9" s="367"/>
      <c r="BS9" s="367"/>
      <c r="BT9" s="367"/>
      <c r="BU9" s="367"/>
      <c r="BV9" s="368"/>
      <c r="BW9" s="152"/>
      <c r="BX9" s="152"/>
      <c r="BY9" s="152"/>
      <c r="BZ9" s="152"/>
      <c r="CA9" s="152"/>
      <c r="CB9" s="152"/>
      <c r="CC9" s="152"/>
      <c r="CD9" s="152"/>
      <c r="CE9" s="152"/>
    </row>
    <row r="10" spans="1:88" ht="20" customHeight="1">
      <c r="A10" s="62">
        <v>22002</v>
      </c>
      <c r="B10" s="344"/>
      <c r="C10" s="19" t="s">
        <v>1087</v>
      </c>
      <c r="D10" s="20" t="s">
        <v>44</v>
      </c>
      <c r="E10" s="21" t="s">
        <v>1400</v>
      </c>
      <c r="F10" s="318">
        <v>338</v>
      </c>
      <c r="G10" s="318">
        <v>1553</v>
      </c>
      <c r="H10" s="23">
        <f>Prosjektplan!E11</f>
        <v>13</v>
      </c>
      <c r="I10" s="24">
        <v>16</v>
      </c>
      <c r="J10" s="348">
        <f t="shared" si="8"/>
        <v>338</v>
      </c>
      <c r="K10" s="349">
        <f t="shared" si="9"/>
        <v>0</v>
      </c>
      <c r="L10" s="88">
        <f t="shared" si="10"/>
        <v>0</v>
      </c>
      <c r="M10" s="27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350">
        <v>15</v>
      </c>
      <c r="Z10" s="36"/>
      <c r="AA10" s="350">
        <v>75</v>
      </c>
      <c r="AB10" s="350">
        <v>75</v>
      </c>
      <c r="AC10" s="350">
        <v>75</v>
      </c>
      <c r="AD10" s="350">
        <v>75</v>
      </c>
      <c r="AE10" s="350">
        <v>23</v>
      </c>
      <c r="AF10" s="36"/>
      <c r="AG10" s="25"/>
      <c r="AH10" s="25"/>
      <c r="AI10" s="25"/>
      <c r="AJ10" s="25"/>
      <c r="AK10" s="25"/>
      <c r="AL10" s="25"/>
      <c r="AM10" s="25"/>
      <c r="AN10" s="36"/>
      <c r="AO10" s="36"/>
      <c r="AP10" s="36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35"/>
      <c r="BF10" s="35"/>
      <c r="BG10" s="35"/>
      <c r="BH10" s="25"/>
      <c r="BI10" s="25"/>
      <c r="BJ10" s="25"/>
      <c r="BK10" s="25"/>
      <c r="BL10" s="249"/>
      <c r="BM10" s="374"/>
      <c r="BN10" s="40"/>
      <c r="BO10" s="40"/>
      <c r="BP10" s="40"/>
      <c r="BQ10" s="40"/>
      <c r="BR10" s="40"/>
      <c r="BS10" s="40"/>
      <c r="BT10" s="40"/>
      <c r="BU10" s="40"/>
      <c r="BV10" s="375"/>
      <c r="BW10" s="152"/>
      <c r="BX10" s="152"/>
      <c r="BY10" s="152"/>
      <c r="BZ10" s="152"/>
      <c r="CA10" s="152"/>
      <c r="CB10" s="152"/>
      <c r="CC10" s="152"/>
      <c r="CD10" s="152"/>
      <c r="CE10" s="152"/>
    </row>
    <row r="11" spans="1:88" ht="20" customHeight="1">
      <c r="A11" s="46">
        <v>22003</v>
      </c>
      <c r="B11" s="345"/>
      <c r="C11" s="61" t="s">
        <v>1082</v>
      </c>
      <c r="D11" s="20" t="s">
        <v>44</v>
      </c>
      <c r="E11" s="21" t="s">
        <v>1400</v>
      </c>
      <c r="F11" s="318">
        <v>582</v>
      </c>
      <c r="G11" s="318">
        <v>2400</v>
      </c>
      <c r="H11" s="23">
        <f>Prosjektplan!E9</f>
        <v>8</v>
      </c>
      <c r="I11" s="24">
        <v>16</v>
      </c>
      <c r="J11" s="348">
        <f t="shared" si="8"/>
        <v>582</v>
      </c>
      <c r="K11" s="349">
        <f t="shared" si="9"/>
        <v>0</v>
      </c>
      <c r="L11" s="88">
        <f t="shared" si="10"/>
        <v>0</v>
      </c>
      <c r="M11" s="27"/>
      <c r="N11" s="25"/>
      <c r="O11" s="25"/>
      <c r="P11" s="25"/>
      <c r="Q11" s="25"/>
      <c r="R11" s="25"/>
      <c r="S11" s="25"/>
      <c r="T11" s="337">
        <f>137.5-6.5-28</f>
        <v>103</v>
      </c>
      <c r="U11" s="354">
        <f>186-34-3</f>
        <v>149</v>
      </c>
      <c r="V11" s="337">
        <f>255-19-42-5</f>
        <v>189</v>
      </c>
      <c r="W11" s="337">
        <f>74-16-5</f>
        <v>53</v>
      </c>
      <c r="X11" s="25"/>
      <c r="Y11" s="337">
        <f>89-15-2-6</f>
        <v>66</v>
      </c>
      <c r="Z11" s="36"/>
      <c r="AA11" s="25">
        <v>22</v>
      </c>
      <c r="AB11" s="25"/>
      <c r="AC11" s="25"/>
      <c r="AD11" s="25"/>
      <c r="AE11" s="25"/>
      <c r="AF11" s="36"/>
      <c r="AG11" s="25"/>
      <c r="AH11" s="25"/>
      <c r="AI11" s="25"/>
      <c r="AJ11" s="25"/>
      <c r="AK11" s="25"/>
      <c r="AL11" s="25"/>
      <c r="AM11" s="25"/>
      <c r="AN11" s="36"/>
      <c r="AO11" s="36"/>
      <c r="AP11" s="36"/>
      <c r="AQ11" s="25"/>
      <c r="AR11" s="25"/>
      <c r="AS11" s="25"/>
      <c r="AT11" s="25"/>
      <c r="AU11" s="25"/>
      <c r="AV11" s="35"/>
      <c r="AW11" s="25"/>
      <c r="AX11" s="25"/>
      <c r="AY11" s="25"/>
      <c r="AZ11" s="25"/>
      <c r="BA11" s="25"/>
      <c r="BB11" s="25"/>
      <c r="BC11" s="25"/>
      <c r="BD11" s="25"/>
      <c r="BE11" s="25"/>
      <c r="BF11" s="35"/>
      <c r="BG11" s="25"/>
      <c r="BH11" s="25"/>
      <c r="BI11" s="25"/>
      <c r="BJ11" s="25"/>
      <c r="BK11" s="25"/>
      <c r="BL11" s="249"/>
      <c r="BM11" s="41"/>
      <c r="BN11" s="42"/>
      <c r="BO11" s="42"/>
      <c r="BP11" s="42"/>
      <c r="BQ11" s="42"/>
      <c r="BR11" s="42"/>
      <c r="BS11" s="42"/>
      <c r="BT11" s="42"/>
      <c r="BU11" s="42"/>
      <c r="BV11" s="43"/>
      <c r="BW11" s="152"/>
      <c r="BX11" s="152"/>
      <c r="BY11" s="152"/>
      <c r="BZ11" s="152"/>
      <c r="CA11" s="152"/>
      <c r="CB11" s="152"/>
      <c r="CC11" s="152"/>
      <c r="CD11" s="152"/>
      <c r="CE11" s="152"/>
    </row>
    <row r="12" spans="1:88" ht="20" customHeight="1">
      <c r="A12" s="45">
        <v>22006</v>
      </c>
      <c r="B12" s="346"/>
      <c r="C12" s="61" t="s">
        <v>1085</v>
      </c>
      <c r="D12" s="20" t="s">
        <v>54</v>
      </c>
      <c r="E12" s="21" t="s">
        <v>1401</v>
      </c>
      <c r="F12" s="318">
        <v>1000</v>
      </c>
      <c r="G12" s="318">
        <v>5100</v>
      </c>
      <c r="H12" s="23">
        <f>Prosjektplan!E10</f>
        <v>12</v>
      </c>
      <c r="I12" s="24">
        <v>20</v>
      </c>
      <c r="J12" s="348">
        <f t="shared" si="8"/>
        <v>1000</v>
      </c>
      <c r="K12" s="349">
        <f t="shared" si="9"/>
        <v>0</v>
      </c>
      <c r="L12" s="88">
        <f t="shared" si="10"/>
        <v>0</v>
      </c>
      <c r="M12" s="27"/>
      <c r="N12" s="25"/>
      <c r="O12" s="25"/>
      <c r="P12" s="25"/>
      <c r="Q12" s="25"/>
      <c r="R12" s="25"/>
      <c r="S12" s="25"/>
      <c r="T12" s="25"/>
      <c r="U12" s="25"/>
      <c r="V12" s="34"/>
      <c r="W12" s="25"/>
      <c r="X12" s="337">
        <f>182-5-21-2.5</f>
        <v>153.5</v>
      </c>
      <c r="Y12" s="337">
        <f>46-6-6</f>
        <v>34</v>
      </c>
      <c r="Z12" s="337">
        <f>49.5-6</f>
        <v>43.5</v>
      </c>
      <c r="AA12" s="337">
        <f>47-2</f>
        <v>45</v>
      </c>
      <c r="AB12" s="25">
        <v>160</v>
      </c>
      <c r="AC12" s="25">
        <v>110</v>
      </c>
      <c r="AD12" s="25">
        <v>130</v>
      </c>
      <c r="AE12" s="25">
        <v>120</v>
      </c>
      <c r="AF12" s="36">
        <v>15</v>
      </c>
      <c r="AG12" s="25">
        <v>100</v>
      </c>
      <c r="AH12" s="25">
        <v>89</v>
      </c>
      <c r="AI12" s="25"/>
      <c r="AJ12" s="25"/>
      <c r="AK12" s="25"/>
      <c r="AL12" s="25"/>
      <c r="AM12" s="25"/>
      <c r="AN12" s="36"/>
      <c r="AO12" s="36"/>
      <c r="AP12" s="36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49"/>
      <c r="BM12" s="27"/>
      <c r="BN12" s="25"/>
      <c r="BO12" s="25"/>
      <c r="BP12" s="25"/>
      <c r="BQ12" s="25"/>
      <c r="BR12" s="25"/>
      <c r="BS12" s="25"/>
      <c r="BT12" s="25"/>
      <c r="BU12" s="25"/>
      <c r="BV12" s="28"/>
      <c r="BW12" s="152"/>
      <c r="BX12" s="152"/>
      <c r="BY12" s="152"/>
      <c r="BZ12" s="152"/>
      <c r="CA12" s="152"/>
      <c r="CB12" s="152"/>
      <c r="CC12" s="152"/>
      <c r="CD12" s="152"/>
      <c r="CE12" s="152"/>
    </row>
    <row r="13" spans="1:88" ht="20" customHeight="1">
      <c r="A13" s="48">
        <v>22010</v>
      </c>
      <c r="B13" s="347"/>
      <c r="C13" s="61" t="s">
        <v>1402</v>
      </c>
      <c r="D13" s="20" t="s">
        <v>54</v>
      </c>
      <c r="E13" s="21" t="s">
        <v>1096</v>
      </c>
      <c r="F13" s="318">
        <v>700</v>
      </c>
      <c r="G13" s="318">
        <v>2900</v>
      </c>
      <c r="H13" s="23">
        <f>Prosjektplan!E12</f>
        <v>42</v>
      </c>
      <c r="I13" s="24"/>
      <c r="J13" s="348">
        <f t="shared" si="8"/>
        <v>700</v>
      </c>
      <c r="K13" s="349">
        <f t="shared" si="9"/>
        <v>0</v>
      </c>
      <c r="L13" s="88">
        <f t="shared" si="10"/>
        <v>0</v>
      </c>
      <c r="M13" s="27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36"/>
      <c r="AA13" s="25"/>
      <c r="AB13" s="25"/>
      <c r="AC13" s="25"/>
      <c r="AD13" s="25"/>
      <c r="AE13" s="25"/>
      <c r="AF13" s="36"/>
      <c r="AG13" s="25"/>
      <c r="AH13" s="25"/>
      <c r="AI13" s="25"/>
      <c r="AJ13" s="25"/>
      <c r="AK13" s="25"/>
      <c r="AL13" s="25"/>
      <c r="AM13" s="25"/>
      <c r="AN13" s="36"/>
      <c r="AO13" s="36"/>
      <c r="AP13" s="36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382">
        <v>150</v>
      </c>
      <c r="BB13" s="382">
        <v>75</v>
      </c>
      <c r="BC13" s="382">
        <v>150</v>
      </c>
      <c r="BD13" s="382">
        <v>150</v>
      </c>
      <c r="BE13" s="382">
        <v>150</v>
      </c>
      <c r="BF13" s="382">
        <v>25</v>
      </c>
      <c r="BG13" s="382"/>
      <c r="BH13" s="25"/>
      <c r="BI13" s="25"/>
      <c r="BJ13" s="35"/>
      <c r="BK13" s="35"/>
      <c r="BL13" s="249"/>
      <c r="BM13" s="27"/>
      <c r="BN13" s="25"/>
      <c r="BO13" s="25"/>
      <c r="BP13" s="25"/>
      <c r="BQ13" s="25"/>
      <c r="BR13" s="25"/>
      <c r="BS13" s="25"/>
      <c r="BT13" s="25"/>
      <c r="BU13" s="25"/>
      <c r="BV13" s="28"/>
      <c r="BW13" s="152"/>
      <c r="BX13" s="152"/>
      <c r="BY13" s="152"/>
      <c r="BZ13" s="152"/>
      <c r="CA13" s="152"/>
      <c r="CB13" s="152"/>
      <c r="CC13" s="152"/>
      <c r="CD13" s="152"/>
      <c r="CE13" s="152"/>
    </row>
    <row r="14" spans="1:88" ht="20" customHeight="1">
      <c r="A14" s="48">
        <v>22014</v>
      </c>
      <c r="B14" s="347"/>
      <c r="C14" s="61" t="s">
        <v>1089</v>
      </c>
      <c r="D14" s="20" t="s">
        <v>1403</v>
      </c>
      <c r="E14" s="21" t="s">
        <v>1083</v>
      </c>
      <c r="F14" s="318">
        <v>297</v>
      </c>
      <c r="G14" s="318">
        <v>1187</v>
      </c>
      <c r="H14" s="23">
        <v>39</v>
      </c>
      <c r="I14" s="24"/>
      <c r="J14" s="348">
        <f t="shared" si="8"/>
        <v>297</v>
      </c>
      <c r="K14" s="349">
        <f t="shared" si="9"/>
        <v>0</v>
      </c>
      <c r="L14" s="88">
        <f t="shared" si="10"/>
        <v>0</v>
      </c>
      <c r="M14" s="27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36"/>
      <c r="AA14" s="25"/>
      <c r="AB14" s="25"/>
      <c r="AC14" s="25"/>
      <c r="AD14" s="25"/>
      <c r="AE14" s="25"/>
      <c r="AF14" s="36"/>
      <c r="AG14" s="25"/>
      <c r="AH14" s="25"/>
      <c r="AI14" s="25"/>
      <c r="AJ14" s="25"/>
      <c r="AK14" s="25"/>
      <c r="AL14" s="25">
        <v>75</v>
      </c>
      <c r="AM14" s="25"/>
      <c r="AN14" s="36"/>
      <c r="AO14" s="36"/>
      <c r="AP14" s="36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>
        <v>75</v>
      </c>
      <c r="BD14" s="25">
        <v>75</v>
      </c>
      <c r="BE14" s="25">
        <v>72</v>
      </c>
      <c r="BF14" s="25"/>
      <c r="BG14" s="25"/>
      <c r="BH14" s="25"/>
      <c r="BI14" s="25"/>
      <c r="BJ14" s="35"/>
      <c r="BK14" s="35"/>
      <c r="BL14" s="249"/>
      <c r="BM14" s="27"/>
      <c r="BN14" s="25"/>
      <c r="BO14" s="25"/>
      <c r="BP14" s="25"/>
      <c r="BQ14" s="25"/>
      <c r="BR14" s="25"/>
      <c r="BS14" s="25"/>
      <c r="BT14" s="25"/>
      <c r="BU14" s="25"/>
      <c r="BV14" s="28"/>
      <c r="BW14" s="152"/>
      <c r="BX14" s="152"/>
      <c r="BY14" s="152"/>
      <c r="BZ14" s="152"/>
      <c r="CA14" s="152"/>
      <c r="CB14" s="152"/>
      <c r="CC14" s="152"/>
      <c r="CD14" s="152"/>
      <c r="CE14" s="152"/>
    </row>
    <row r="15" spans="1:88" ht="20" customHeight="1">
      <c r="A15" s="48">
        <v>22015</v>
      </c>
      <c r="B15" s="347"/>
      <c r="C15" s="61" t="s">
        <v>1404</v>
      </c>
      <c r="D15" s="20" t="s">
        <v>54</v>
      </c>
      <c r="E15" s="383" t="s">
        <v>1405</v>
      </c>
      <c r="F15" s="318">
        <v>2155</v>
      </c>
      <c r="G15" s="318">
        <v>8224</v>
      </c>
      <c r="H15" s="23">
        <v>46</v>
      </c>
      <c r="I15" s="24"/>
      <c r="J15" s="348">
        <f t="shared" si="8"/>
        <v>300</v>
      </c>
      <c r="K15" s="349">
        <f t="shared" si="9"/>
        <v>1855</v>
      </c>
      <c r="L15" s="88">
        <f t="shared" si="10"/>
        <v>0</v>
      </c>
      <c r="M15" s="27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36"/>
      <c r="AA15" s="25"/>
      <c r="AB15" s="25"/>
      <c r="AC15" s="25"/>
      <c r="AD15" s="25"/>
      <c r="AE15" s="25"/>
      <c r="AF15" s="36"/>
      <c r="AG15" s="25"/>
      <c r="AH15" s="25"/>
      <c r="AI15" s="25"/>
      <c r="AJ15" s="25"/>
      <c r="AK15" s="25"/>
      <c r="AL15" s="25"/>
      <c r="AM15" s="25"/>
      <c r="AN15" s="36"/>
      <c r="AO15" s="36"/>
      <c r="AP15" s="36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>
        <v>150</v>
      </c>
      <c r="BK15" s="25">
        <v>150</v>
      </c>
      <c r="BL15" s="249"/>
      <c r="BM15" s="27">
        <v>200</v>
      </c>
      <c r="BN15" s="25">
        <v>200</v>
      </c>
      <c r="BO15" s="25">
        <v>200</v>
      </c>
      <c r="BP15" s="25">
        <v>200</v>
      </c>
      <c r="BQ15" s="25">
        <v>200</v>
      </c>
      <c r="BR15" s="25">
        <v>200</v>
      </c>
      <c r="BS15" s="25">
        <v>200</v>
      </c>
      <c r="BT15" s="25">
        <v>200</v>
      </c>
      <c r="BU15" s="25">
        <v>200</v>
      </c>
      <c r="BV15" s="28">
        <v>55</v>
      </c>
      <c r="BW15" s="152"/>
      <c r="BX15" s="152"/>
      <c r="BY15" s="152"/>
      <c r="BZ15" s="152"/>
      <c r="CA15" s="152"/>
      <c r="CB15" s="152"/>
      <c r="CC15" s="152"/>
      <c r="CD15" s="152"/>
      <c r="CE15" s="152"/>
    </row>
    <row r="16" spans="1:88" ht="20" customHeight="1">
      <c r="A16" s="48">
        <v>22019</v>
      </c>
      <c r="B16" s="347"/>
      <c r="C16" s="61" t="s">
        <v>1095</v>
      </c>
      <c r="D16" s="20" t="s">
        <v>54</v>
      </c>
      <c r="E16" s="21" t="s">
        <v>1096</v>
      </c>
      <c r="F16" s="318">
        <v>369</v>
      </c>
      <c r="G16" s="318">
        <v>1715</v>
      </c>
      <c r="H16" s="23">
        <f>Prosjektplan!E15</f>
        <v>45</v>
      </c>
      <c r="I16" s="24"/>
      <c r="J16" s="348">
        <f t="shared" si="8"/>
        <v>369</v>
      </c>
      <c r="K16" s="349">
        <f t="shared" si="9"/>
        <v>0</v>
      </c>
      <c r="L16" s="88">
        <f t="shared" si="10"/>
        <v>0</v>
      </c>
      <c r="M16" s="27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36"/>
      <c r="AA16" s="25"/>
      <c r="AB16" s="25"/>
      <c r="AC16" s="25"/>
      <c r="AD16" s="25"/>
      <c r="AE16" s="25"/>
      <c r="AF16" s="36"/>
      <c r="AG16" s="25"/>
      <c r="AH16" s="25"/>
      <c r="AI16" s="25"/>
      <c r="AJ16" s="25"/>
      <c r="AK16" s="25"/>
      <c r="AL16" s="25"/>
      <c r="AM16" s="25"/>
      <c r="AN16" s="36"/>
      <c r="AO16" s="36"/>
      <c r="AP16" s="36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382"/>
      <c r="BF16" s="382">
        <v>150</v>
      </c>
      <c r="BG16" s="382">
        <v>150</v>
      </c>
      <c r="BH16" s="382">
        <v>69</v>
      </c>
      <c r="BI16" s="382"/>
      <c r="BJ16" s="382"/>
      <c r="BK16" s="382"/>
      <c r="BL16" s="249"/>
      <c r="BM16" s="27"/>
      <c r="BN16" s="25"/>
      <c r="BO16" s="25"/>
      <c r="BP16" s="25"/>
      <c r="BQ16" s="25"/>
      <c r="BR16" s="25"/>
      <c r="BS16" s="25"/>
      <c r="BT16" s="25"/>
      <c r="BU16" s="25"/>
      <c r="BV16" s="28"/>
      <c r="BW16" s="152"/>
      <c r="BX16" s="152"/>
      <c r="BY16" s="152"/>
      <c r="BZ16" s="152"/>
      <c r="CA16" s="152"/>
      <c r="CB16" s="152"/>
      <c r="CC16" s="152"/>
      <c r="CD16" s="152"/>
      <c r="CE16" s="152"/>
    </row>
    <row r="17" spans="1:83" ht="20" hidden="1" customHeight="1">
      <c r="A17" s="48">
        <v>22021</v>
      </c>
      <c r="B17" s="347" t="s">
        <v>471</v>
      </c>
      <c r="C17" s="61" t="s">
        <v>1099</v>
      </c>
      <c r="D17" s="20" t="s">
        <v>54</v>
      </c>
      <c r="E17" s="21" t="s">
        <v>1406</v>
      </c>
      <c r="F17" s="318">
        <v>74</v>
      </c>
      <c r="G17" s="318">
        <v>125</v>
      </c>
      <c r="H17" s="23">
        <v>1</v>
      </c>
      <c r="I17" s="24">
        <v>2</v>
      </c>
      <c r="J17" s="102">
        <f t="shared" si="8"/>
        <v>74</v>
      </c>
      <c r="K17" s="26">
        <f t="shared" si="9"/>
        <v>0</v>
      </c>
      <c r="L17" s="88">
        <f t="shared" si="10"/>
        <v>0</v>
      </c>
      <c r="M17" s="27">
        <v>60</v>
      </c>
      <c r="N17" s="25">
        <v>14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36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36"/>
      <c r="AO17" s="36"/>
      <c r="AP17" s="36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49"/>
      <c r="BM17" s="27"/>
      <c r="BN17" s="25"/>
      <c r="BO17" s="25"/>
      <c r="BP17" s="25"/>
      <c r="BQ17" s="25"/>
      <c r="BR17" s="25"/>
      <c r="BS17" s="25"/>
      <c r="BT17" s="25"/>
      <c r="BU17" s="25"/>
      <c r="BV17" s="28"/>
      <c r="BW17" s="152"/>
      <c r="BX17" s="152"/>
      <c r="BY17" s="152"/>
      <c r="BZ17" s="152"/>
      <c r="CA17" s="152"/>
      <c r="CB17" s="152"/>
      <c r="CC17" s="152"/>
      <c r="CD17" s="152"/>
      <c r="CE17" s="152"/>
    </row>
    <row r="18" spans="1:83" ht="20" customHeight="1">
      <c r="A18" s="62">
        <v>22025</v>
      </c>
      <c r="B18" s="344"/>
      <c r="C18" s="19" t="s">
        <v>1097</v>
      </c>
      <c r="D18" s="20" t="s">
        <v>44</v>
      </c>
      <c r="E18" s="21" t="s">
        <v>1407</v>
      </c>
      <c r="F18" s="318">
        <v>813</v>
      </c>
      <c r="G18" s="318">
        <v>3808</v>
      </c>
      <c r="H18" s="23">
        <v>28</v>
      </c>
      <c r="I18" s="24"/>
      <c r="J18" s="348">
        <f t="shared" si="8"/>
        <v>813</v>
      </c>
      <c r="K18" s="349">
        <f t="shared" si="9"/>
        <v>0</v>
      </c>
      <c r="L18" s="88">
        <f t="shared" si="10"/>
        <v>0</v>
      </c>
      <c r="M18" s="27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36"/>
      <c r="AA18" s="25"/>
      <c r="AB18" s="25"/>
      <c r="AC18" s="25"/>
      <c r="AD18" s="25"/>
      <c r="AE18" s="25"/>
      <c r="AF18" s="36"/>
      <c r="AG18" s="25"/>
      <c r="AH18" s="25"/>
      <c r="AI18" s="25"/>
      <c r="AJ18" s="25"/>
      <c r="AK18" s="25"/>
      <c r="AL18" s="25"/>
      <c r="AM18" s="25"/>
      <c r="AN18" s="36"/>
      <c r="AO18" s="36"/>
      <c r="AP18" s="25">
        <v>52</v>
      </c>
      <c r="AQ18" s="25">
        <v>40</v>
      </c>
      <c r="AR18" s="25">
        <v>180</v>
      </c>
      <c r="AS18" s="25">
        <v>200</v>
      </c>
      <c r="AT18" s="25">
        <v>200</v>
      </c>
      <c r="AU18" s="25">
        <v>141</v>
      </c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49"/>
      <c r="BM18" s="27"/>
      <c r="BN18" s="25"/>
      <c r="BO18" s="25"/>
      <c r="BP18" s="25"/>
      <c r="BQ18" s="25"/>
      <c r="BR18" s="25"/>
      <c r="BS18" s="25"/>
      <c r="BT18" s="25"/>
      <c r="BU18" s="25"/>
      <c r="BV18" s="28"/>
      <c r="BW18" s="152"/>
      <c r="BX18" s="152"/>
      <c r="BY18" s="152"/>
      <c r="BZ18" s="152"/>
      <c r="CA18" s="152"/>
      <c r="CB18" s="152"/>
      <c r="CC18" s="152"/>
      <c r="CD18" s="152"/>
      <c r="CE18" s="152"/>
    </row>
    <row r="19" spans="1:83" ht="20" customHeight="1">
      <c r="A19" s="62">
        <v>23016</v>
      </c>
      <c r="B19" s="344"/>
      <c r="C19" s="61" t="s">
        <v>1408</v>
      </c>
      <c r="D19" s="20" t="s">
        <v>102</v>
      </c>
      <c r="E19" s="21" t="s">
        <v>1083</v>
      </c>
      <c r="F19" s="318">
        <v>663</v>
      </c>
      <c r="G19" s="318">
        <v>3247</v>
      </c>
      <c r="H19" s="23">
        <f>Prosjektplan!E18</f>
        <v>40</v>
      </c>
      <c r="I19" s="24"/>
      <c r="J19" s="348">
        <f t="shared" si="8"/>
        <v>663</v>
      </c>
      <c r="K19" s="349">
        <f t="shared" si="9"/>
        <v>0</v>
      </c>
      <c r="L19" s="88">
        <f t="shared" si="10"/>
        <v>0</v>
      </c>
      <c r="M19" s="27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36"/>
      <c r="AA19" s="25"/>
      <c r="AB19" s="25"/>
      <c r="AC19" s="25"/>
      <c r="AD19" s="25"/>
      <c r="AE19" s="25"/>
      <c r="AF19" s="36"/>
      <c r="AG19" s="25"/>
      <c r="AH19" s="25"/>
      <c r="AI19" s="25"/>
      <c r="AJ19" s="25"/>
      <c r="AK19" s="25"/>
      <c r="AL19" s="25"/>
      <c r="AM19" s="25"/>
      <c r="AN19" s="36"/>
      <c r="AO19" s="36"/>
      <c r="AP19" s="36"/>
      <c r="AQ19" s="25"/>
      <c r="AR19" s="25"/>
      <c r="AS19" s="25"/>
      <c r="AT19" s="25"/>
      <c r="AU19" s="25"/>
      <c r="AV19" s="25"/>
      <c r="AW19" s="25"/>
      <c r="AX19" s="25"/>
      <c r="AY19" s="25"/>
      <c r="AZ19" s="25">
        <v>100</v>
      </c>
      <c r="BA19" s="25">
        <v>200</v>
      </c>
      <c r="BB19" s="25"/>
      <c r="BC19" s="25">
        <v>150</v>
      </c>
      <c r="BD19" s="25">
        <v>150</v>
      </c>
      <c r="BE19" s="25">
        <v>63</v>
      </c>
      <c r="BF19" s="25"/>
      <c r="BG19" s="25"/>
      <c r="BH19" s="25"/>
      <c r="BI19" s="25"/>
      <c r="BJ19" s="25"/>
      <c r="BK19" s="25"/>
      <c r="BL19" s="249"/>
      <c r="BM19" s="27"/>
      <c r="BN19" s="25"/>
      <c r="BO19" s="25"/>
      <c r="BP19" s="25"/>
      <c r="BQ19" s="25"/>
      <c r="BR19" s="25"/>
      <c r="BS19" s="25"/>
      <c r="BT19" s="25"/>
      <c r="BU19" s="25"/>
      <c r="BV19" s="28"/>
      <c r="BW19" s="152"/>
      <c r="BX19" s="152"/>
      <c r="BY19" s="152"/>
      <c r="BZ19" s="152"/>
      <c r="CA19" s="152"/>
      <c r="CB19" s="152"/>
      <c r="CC19" s="152"/>
      <c r="CD19" s="152"/>
      <c r="CE19" s="152"/>
    </row>
    <row r="20" spans="1:83" ht="20" customHeight="1">
      <c r="A20" s="45">
        <v>23019</v>
      </c>
      <c r="B20" s="346"/>
      <c r="C20" s="19" t="s">
        <v>1103</v>
      </c>
      <c r="D20" s="20" t="s">
        <v>54</v>
      </c>
      <c r="E20" s="21" t="s">
        <v>1409</v>
      </c>
      <c r="F20" s="318">
        <v>169</v>
      </c>
      <c r="G20" s="318">
        <v>581</v>
      </c>
      <c r="H20" s="23">
        <v>47</v>
      </c>
      <c r="I20" s="24"/>
      <c r="J20" s="348">
        <f t="shared" si="8"/>
        <v>0</v>
      </c>
      <c r="K20" s="349">
        <f t="shared" si="9"/>
        <v>169</v>
      </c>
      <c r="L20" s="88">
        <f t="shared" si="10"/>
        <v>0</v>
      </c>
      <c r="M20" s="27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36"/>
      <c r="AA20" s="25"/>
      <c r="AB20" s="25"/>
      <c r="AC20" s="25"/>
      <c r="AD20" s="25"/>
      <c r="AE20" s="25"/>
      <c r="AF20" s="36"/>
      <c r="AG20" s="25"/>
      <c r="AH20" s="25"/>
      <c r="AI20" s="25"/>
      <c r="AJ20" s="25"/>
      <c r="AK20" s="25"/>
      <c r="AL20" s="25"/>
      <c r="AM20" s="25"/>
      <c r="AN20" s="36"/>
      <c r="AO20" s="36"/>
      <c r="AP20" s="36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35"/>
      <c r="BK20" s="35"/>
      <c r="BL20" s="249"/>
      <c r="BM20" s="27"/>
      <c r="BN20" s="25"/>
      <c r="BO20" s="25">
        <v>75</v>
      </c>
      <c r="BP20" s="25">
        <v>75</v>
      </c>
      <c r="BQ20" s="25">
        <v>19</v>
      </c>
      <c r="BR20" s="25"/>
      <c r="BS20" s="25"/>
      <c r="BT20" s="25"/>
      <c r="BU20" s="25"/>
      <c r="BV20" s="28"/>
      <c r="BW20" s="152"/>
      <c r="BX20" s="152"/>
      <c r="BY20" s="152"/>
      <c r="BZ20" s="152"/>
      <c r="CA20" s="152"/>
      <c r="CB20" s="152"/>
      <c r="CC20" s="152"/>
      <c r="CD20" s="152"/>
      <c r="CE20" s="152"/>
    </row>
    <row r="21" spans="1:83" ht="20" customHeight="1">
      <c r="A21" s="45">
        <v>23020</v>
      </c>
      <c r="B21" s="346"/>
      <c r="C21" s="61" t="s">
        <v>1105</v>
      </c>
      <c r="D21" s="20" t="s">
        <v>54</v>
      </c>
      <c r="E21" s="21" t="s">
        <v>1096</v>
      </c>
      <c r="F21" s="318">
        <f>392+258</f>
        <v>650</v>
      </c>
      <c r="G21" s="318">
        <v>3170</v>
      </c>
      <c r="H21" s="23">
        <v>28</v>
      </c>
      <c r="I21" s="24"/>
      <c r="J21" s="348">
        <f t="shared" si="8"/>
        <v>650</v>
      </c>
      <c r="K21" s="349">
        <f t="shared" si="9"/>
        <v>0</v>
      </c>
      <c r="L21" s="88">
        <f t="shared" si="10"/>
        <v>0</v>
      </c>
      <c r="M21" s="27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36"/>
      <c r="AA21" s="25"/>
      <c r="AB21" s="25"/>
      <c r="AC21" s="25"/>
      <c r="AD21" s="25"/>
      <c r="AE21" s="25"/>
      <c r="AF21" s="36"/>
      <c r="AG21" s="25"/>
      <c r="AH21" s="25"/>
      <c r="AI21" s="25"/>
      <c r="AJ21" s="25"/>
      <c r="AK21" s="25"/>
      <c r="AL21" s="25"/>
      <c r="AM21" s="25"/>
      <c r="AN21" s="25">
        <v>100</v>
      </c>
      <c r="AO21" s="25">
        <v>100</v>
      </c>
      <c r="AP21" s="25">
        <v>100</v>
      </c>
      <c r="AQ21" s="25">
        <v>100</v>
      </c>
      <c r="AR21" s="25">
        <v>100</v>
      </c>
      <c r="AS21" s="25">
        <v>150</v>
      </c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49"/>
      <c r="BM21" s="27"/>
      <c r="BN21" s="25"/>
      <c r="BO21" s="25"/>
      <c r="BP21" s="25"/>
      <c r="BQ21" s="25"/>
      <c r="BR21" s="25"/>
      <c r="BS21" s="25"/>
      <c r="BT21" s="25"/>
      <c r="BU21" s="25"/>
      <c r="BV21" s="28"/>
      <c r="BW21" s="152"/>
      <c r="BX21" s="152"/>
      <c r="BY21" s="152"/>
      <c r="BZ21" s="152"/>
      <c r="CA21" s="152"/>
      <c r="CB21" s="152"/>
      <c r="CC21" s="152"/>
      <c r="CD21" s="152"/>
      <c r="CE21" s="152"/>
    </row>
    <row r="22" spans="1:83" ht="20" customHeight="1">
      <c r="A22" s="48">
        <v>23023</v>
      </c>
      <c r="B22" s="347"/>
      <c r="C22" s="61" t="s">
        <v>1119</v>
      </c>
      <c r="D22" s="20" t="s">
        <v>54</v>
      </c>
      <c r="E22" s="21" t="s">
        <v>1086</v>
      </c>
      <c r="F22" s="318">
        <v>0</v>
      </c>
      <c r="G22" s="318">
        <v>2226</v>
      </c>
      <c r="H22" s="23">
        <v>37</v>
      </c>
      <c r="I22" s="24" t="s">
        <v>1410</v>
      </c>
      <c r="J22" s="348">
        <f t="shared" si="8"/>
        <v>0</v>
      </c>
      <c r="K22" s="349">
        <f t="shared" si="9"/>
        <v>0</v>
      </c>
      <c r="L22" s="88">
        <f t="shared" si="10"/>
        <v>0</v>
      </c>
      <c r="M22" s="27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36"/>
      <c r="AA22" s="25"/>
      <c r="AB22" s="25"/>
      <c r="AC22" s="25"/>
      <c r="AD22" s="25"/>
      <c r="AE22" s="25"/>
      <c r="AF22" s="36"/>
      <c r="AG22" s="25"/>
      <c r="AH22" s="25"/>
      <c r="AI22" s="25"/>
      <c r="AJ22" s="25"/>
      <c r="AK22" s="25"/>
      <c r="AL22" s="25"/>
      <c r="AM22" s="25"/>
      <c r="AN22" s="36"/>
      <c r="AO22" s="36"/>
      <c r="AP22" s="36"/>
      <c r="AQ22" s="25"/>
      <c r="AR22" s="25"/>
      <c r="AS22" s="25"/>
      <c r="AT22" s="25"/>
      <c r="AU22" s="25"/>
      <c r="AV22" s="25"/>
      <c r="AW22" s="382" t="s">
        <v>1411</v>
      </c>
      <c r="AX22" s="382" t="s">
        <v>1411</v>
      </c>
      <c r="AY22" s="382" t="s">
        <v>1411</v>
      </c>
      <c r="AZ22" s="382" t="s">
        <v>1411</v>
      </c>
      <c r="BA22" s="382" t="s">
        <v>1411</v>
      </c>
      <c r="BB22" s="382" t="s">
        <v>1411</v>
      </c>
      <c r="BC22" s="382" t="s">
        <v>1412</v>
      </c>
      <c r="BD22" s="25"/>
      <c r="BE22" s="25"/>
      <c r="BF22" s="25"/>
      <c r="BG22" s="25"/>
      <c r="BH22" s="25"/>
      <c r="BI22" s="25"/>
      <c r="BJ22" s="35"/>
      <c r="BK22" s="35"/>
      <c r="BL22" s="249"/>
      <c r="BM22" s="27"/>
      <c r="BN22" s="25"/>
      <c r="BO22" s="25"/>
      <c r="BP22" s="25"/>
      <c r="BQ22" s="25"/>
      <c r="BR22" s="25"/>
      <c r="BS22" s="25"/>
      <c r="BT22" s="25"/>
      <c r="BU22" s="25"/>
      <c r="BV22" s="28"/>
      <c r="BW22" s="152"/>
      <c r="BX22" s="152"/>
      <c r="BY22" s="152"/>
      <c r="BZ22" s="152"/>
      <c r="CA22" s="152"/>
      <c r="CB22" s="152"/>
      <c r="CC22" s="152"/>
      <c r="CD22" s="152"/>
      <c r="CE22" s="152"/>
    </row>
    <row r="23" spans="1:83" ht="20" customHeight="1">
      <c r="A23" s="62">
        <v>23036</v>
      </c>
      <c r="B23" s="344"/>
      <c r="C23" s="19" t="s">
        <v>1413</v>
      </c>
      <c r="D23" s="20" t="s">
        <v>1403</v>
      </c>
      <c r="E23" s="21" t="s">
        <v>1083</v>
      </c>
      <c r="F23" s="318">
        <v>268</v>
      </c>
      <c r="G23" s="318">
        <v>1136</v>
      </c>
      <c r="H23" s="23">
        <f>Prosjektplan!E22</f>
        <v>22</v>
      </c>
      <c r="I23" s="24"/>
      <c r="J23" s="348">
        <f t="shared" si="8"/>
        <v>0</v>
      </c>
      <c r="K23" s="349">
        <f t="shared" si="9"/>
        <v>268</v>
      </c>
      <c r="L23" s="88">
        <f t="shared" si="10"/>
        <v>0</v>
      </c>
      <c r="M23" s="27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36"/>
      <c r="AA23" s="25"/>
      <c r="AB23" s="25"/>
      <c r="AC23" s="25"/>
      <c r="AD23" s="25"/>
      <c r="AE23" s="25"/>
      <c r="AF23" s="36"/>
      <c r="AG23" s="25"/>
      <c r="AH23" s="25"/>
      <c r="AI23" s="25"/>
      <c r="AJ23" s="25"/>
      <c r="AK23" s="25"/>
      <c r="AL23" s="25"/>
      <c r="AM23" s="25"/>
      <c r="AN23" s="36"/>
      <c r="AO23" s="36"/>
      <c r="AP23" s="36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35"/>
      <c r="BL23" s="249"/>
      <c r="BM23" s="27"/>
      <c r="BN23" s="25"/>
      <c r="BO23" s="25"/>
      <c r="BP23" s="25"/>
      <c r="BQ23" s="25"/>
      <c r="BR23" s="25"/>
      <c r="BS23" s="25"/>
      <c r="BT23" s="25"/>
      <c r="BU23" s="25"/>
      <c r="BV23" s="28">
        <v>268</v>
      </c>
      <c r="BW23" s="152"/>
      <c r="BX23" s="152"/>
      <c r="BY23" s="152"/>
      <c r="BZ23" s="152"/>
      <c r="CA23" s="152"/>
      <c r="CB23" s="152"/>
      <c r="CC23" s="152"/>
      <c r="CD23" s="152"/>
      <c r="CE23" s="152"/>
    </row>
    <row r="24" spans="1:83" ht="20" customHeight="1">
      <c r="A24" s="19">
        <v>23038</v>
      </c>
      <c r="B24" s="19"/>
      <c r="C24" s="19" t="s">
        <v>1110</v>
      </c>
      <c r="D24" s="20" t="s">
        <v>85</v>
      </c>
      <c r="E24" s="21" t="s">
        <v>1407</v>
      </c>
      <c r="F24" s="318">
        <v>639</v>
      </c>
      <c r="G24" s="318">
        <v>3027</v>
      </c>
      <c r="H24" s="23">
        <v>37</v>
      </c>
      <c r="I24" s="24"/>
      <c r="J24" s="348">
        <f t="shared" si="8"/>
        <v>639</v>
      </c>
      <c r="K24" s="349">
        <f t="shared" si="9"/>
        <v>0</v>
      </c>
      <c r="L24" s="88">
        <f t="shared" si="10"/>
        <v>0</v>
      </c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36"/>
      <c r="AA24" s="25"/>
      <c r="AB24" s="25"/>
      <c r="AC24" s="25"/>
      <c r="AD24" s="25"/>
      <c r="AE24" s="25"/>
      <c r="AF24" s="36"/>
      <c r="AG24" s="25"/>
      <c r="AH24" s="25"/>
      <c r="AI24" s="25"/>
      <c r="AJ24" s="25"/>
      <c r="AK24" s="25"/>
      <c r="AL24" s="25"/>
      <c r="AM24" s="25"/>
      <c r="AN24" s="36"/>
      <c r="AO24" s="36"/>
      <c r="AP24" s="36"/>
      <c r="AQ24" s="25"/>
      <c r="AR24" s="25"/>
      <c r="AS24" s="25"/>
      <c r="AT24" s="25"/>
      <c r="AU24" s="382">
        <v>150</v>
      </c>
      <c r="AV24" s="382">
        <v>150</v>
      </c>
      <c r="AW24" s="382">
        <v>150</v>
      </c>
      <c r="AX24" s="382">
        <v>100</v>
      </c>
      <c r="AY24" s="382">
        <v>89</v>
      </c>
      <c r="AZ24" s="382"/>
      <c r="BA24" s="382"/>
      <c r="BB24" s="25"/>
      <c r="BC24" s="25"/>
      <c r="BD24" s="25"/>
      <c r="BE24" s="25"/>
      <c r="BF24" s="25"/>
      <c r="BG24" s="25"/>
      <c r="BH24" s="25"/>
      <c r="BI24" s="25"/>
      <c r="BJ24" s="35"/>
      <c r="BK24" s="35"/>
      <c r="BL24" s="249"/>
      <c r="BM24" s="27"/>
      <c r="BN24" s="25"/>
      <c r="BO24" s="25"/>
      <c r="BP24" s="25"/>
      <c r="BQ24" s="25"/>
      <c r="BR24" s="25"/>
      <c r="BS24" s="25"/>
      <c r="BT24" s="25"/>
      <c r="BU24" s="25"/>
      <c r="BV24" s="28"/>
      <c r="BW24" s="152"/>
      <c r="BX24" s="152"/>
      <c r="BY24" s="152"/>
      <c r="BZ24" s="152"/>
      <c r="CA24" s="152"/>
      <c r="CB24" s="152"/>
      <c r="CC24" s="152"/>
      <c r="CD24" s="152"/>
      <c r="CE24" s="152"/>
    </row>
    <row r="25" spans="1:83" ht="20" customHeight="1">
      <c r="A25" s="19">
        <v>23040</v>
      </c>
      <c r="B25" s="22"/>
      <c r="C25" s="19" t="s">
        <v>1112</v>
      </c>
      <c r="D25" s="20" t="s">
        <v>54</v>
      </c>
      <c r="E25" s="21" t="s">
        <v>1407</v>
      </c>
      <c r="F25" s="318">
        <v>44</v>
      </c>
      <c r="G25" s="318">
        <v>98</v>
      </c>
      <c r="H25" s="23">
        <v>27</v>
      </c>
      <c r="I25" s="24">
        <v>21</v>
      </c>
      <c r="J25" s="348">
        <f t="shared" si="8"/>
        <v>44</v>
      </c>
      <c r="K25" s="349">
        <f t="shared" si="9"/>
        <v>0</v>
      </c>
      <c r="L25" s="88">
        <f t="shared" si="10"/>
        <v>0</v>
      </c>
      <c r="M25" s="27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36"/>
      <c r="AA25" s="25"/>
      <c r="AB25" s="25"/>
      <c r="AC25" s="25"/>
      <c r="AD25" s="25"/>
      <c r="AE25" s="25"/>
      <c r="AF25" s="36"/>
      <c r="AG25" s="25"/>
      <c r="AH25" s="25"/>
      <c r="AI25" s="25"/>
      <c r="AJ25" s="25"/>
      <c r="AK25" s="25"/>
      <c r="AL25" s="25"/>
      <c r="AM25" s="25">
        <v>44</v>
      </c>
      <c r="AN25" s="36"/>
      <c r="AO25" s="36"/>
      <c r="AP25" s="36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49"/>
      <c r="BM25" s="27"/>
      <c r="BN25" s="25"/>
      <c r="BO25" s="25"/>
      <c r="BP25" s="25"/>
      <c r="BQ25" s="25"/>
      <c r="BR25" s="25"/>
      <c r="BS25" s="25"/>
      <c r="BT25" s="25"/>
      <c r="BU25" s="25"/>
      <c r="BV25" s="28"/>
      <c r="BW25" s="152"/>
      <c r="BX25" s="152"/>
      <c r="BY25" s="152"/>
      <c r="BZ25" s="152"/>
      <c r="CA25" s="152"/>
      <c r="CB25" s="152"/>
      <c r="CC25" s="152"/>
      <c r="CD25" s="152"/>
      <c r="CE25" s="152"/>
    </row>
    <row r="26" spans="1:83" ht="20" customHeight="1">
      <c r="A26" s="48">
        <v>23043</v>
      </c>
      <c r="B26" s="347"/>
      <c r="C26" s="61" t="s">
        <v>1113</v>
      </c>
      <c r="D26" s="20" t="s">
        <v>54</v>
      </c>
      <c r="E26" s="21" t="s">
        <v>1407</v>
      </c>
      <c r="F26" s="318">
        <v>324</v>
      </c>
      <c r="G26" s="318">
        <v>1267</v>
      </c>
      <c r="H26" s="23">
        <f>Prosjektplan!E25</f>
        <v>50</v>
      </c>
      <c r="I26" s="24"/>
      <c r="J26" s="348">
        <f t="shared" si="8"/>
        <v>250</v>
      </c>
      <c r="K26" s="349">
        <f t="shared" si="9"/>
        <v>74</v>
      </c>
      <c r="L26" s="88">
        <f t="shared" si="10"/>
        <v>0</v>
      </c>
      <c r="M26" s="27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36"/>
      <c r="AA26" s="25"/>
      <c r="AB26" s="25"/>
      <c r="AC26" s="25"/>
      <c r="AD26" s="25"/>
      <c r="AE26" s="25"/>
      <c r="AF26" s="36"/>
      <c r="AG26" s="25"/>
      <c r="AH26" s="25"/>
      <c r="AI26" s="25"/>
      <c r="AJ26" s="25"/>
      <c r="AK26" s="25"/>
      <c r="AL26" s="25"/>
      <c r="AM26" s="25"/>
      <c r="AN26" s="36"/>
      <c r="AO26" s="36"/>
      <c r="AP26" s="36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396"/>
      <c r="BF26" s="25"/>
      <c r="BG26" s="25"/>
      <c r="BH26" s="25"/>
      <c r="BI26" s="25"/>
      <c r="BJ26" s="25">
        <v>150</v>
      </c>
      <c r="BK26" s="25">
        <v>100</v>
      </c>
      <c r="BL26" s="249"/>
      <c r="BM26" s="27">
        <v>74</v>
      </c>
      <c r="BN26" s="25"/>
      <c r="BO26" s="25"/>
      <c r="BP26" s="25"/>
      <c r="BQ26" s="25"/>
      <c r="BR26" s="25"/>
      <c r="BS26" s="25"/>
      <c r="BT26" s="25"/>
      <c r="BU26" s="25"/>
      <c r="BV26" s="28"/>
      <c r="BW26" s="152"/>
      <c r="BX26" s="152"/>
      <c r="BY26" s="152"/>
      <c r="BZ26" s="152"/>
      <c r="CA26" s="152"/>
      <c r="CB26" s="152"/>
      <c r="CC26" s="152"/>
      <c r="CD26" s="152"/>
      <c r="CE26" s="152"/>
    </row>
    <row r="27" spans="1:83" ht="20" customHeight="1">
      <c r="A27" s="48">
        <v>23049</v>
      </c>
      <c r="B27" s="347"/>
      <c r="C27" s="61" t="s">
        <v>1114</v>
      </c>
      <c r="D27" s="20" t="s">
        <v>54</v>
      </c>
      <c r="E27" s="21" t="s">
        <v>1083</v>
      </c>
      <c r="F27" s="318">
        <v>82</v>
      </c>
      <c r="G27" s="318">
        <v>217</v>
      </c>
      <c r="H27" s="23">
        <f>Prosjektplan!E26</f>
        <v>43</v>
      </c>
      <c r="I27" s="24"/>
      <c r="J27" s="348">
        <f t="shared" si="8"/>
        <v>82</v>
      </c>
      <c r="K27" s="349">
        <f t="shared" si="9"/>
        <v>0</v>
      </c>
      <c r="L27" s="88">
        <f t="shared" si="10"/>
        <v>0</v>
      </c>
      <c r="M27" s="27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322"/>
      <c r="AA27" s="35"/>
      <c r="AB27" s="35"/>
      <c r="AC27" s="35"/>
      <c r="AD27" s="35"/>
      <c r="AE27" s="35"/>
      <c r="AF27" s="36"/>
      <c r="AG27" s="25"/>
      <c r="AH27" s="25"/>
      <c r="AI27" s="25"/>
      <c r="AJ27" s="25"/>
      <c r="AK27" s="25"/>
      <c r="AL27" s="25"/>
      <c r="AM27" s="25"/>
      <c r="AN27" s="36"/>
      <c r="AO27" s="36"/>
      <c r="AP27" s="36"/>
      <c r="AQ27" s="25"/>
      <c r="AR27" s="25"/>
      <c r="AS27" s="25"/>
      <c r="AT27" s="25"/>
      <c r="AU27" s="25"/>
      <c r="AV27" s="25"/>
      <c r="AW27" s="25"/>
      <c r="AX27" s="382"/>
      <c r="AY27" s="25"/>
      <c r="AZ27" s="25"/>
      <c r="BA27" s="25"/>
      <c r="BB27" s="25"/>
      <c r="BC27" s="25">
        <v>82</v>
      </c>
      <c r="BD27" s="25"/>
      <c r="BE27" s="395"/>
      <c r="BF27" s="25"/>
      <c r="BG27" s="25"/>
      <c r="BH27" s="25"/>
      <c r="BI27" s="25"/>
      <c r="BJ27" s="35"/>
      <c r="BK27" s="35"/>
      <c r="BL27" s="249"/>
      <c r="BM27" s="27"/>
      <c r="BN27" s="25"/>
      <c r="BO27" s="25"/>
      <c r="BP27" s="25"/>
      <c r="BQ27" s="25"/>
      <c r="BR27" s="25"/>
      <c r="BS27" s="25"/>
      <c r="BT27" s="25"/>
      <c r="BU27" s="25"/>
      <c r="BV27" s="28"/>
      <c r="BW27" s="152"/>
      <c r="BX27" s="152"/>
      <c r="BY27" s="152"/>
      <c r="BZ27" s="152"/>
      <c r="CA27" s="152"/>
      <c r="CB27" s="152"/>
      <c r="CC27" s="152"/>
      <c r="CD27" s="152"/>
      <c r="CE27" s="152"/>
    </row>
    <row r="28" spans="1:83" ht="20" customHeight="1">
      <c r="A28" s="48">
        <v>23050</v>
      </c>
      <c r="B28" s="347"/>
      <c r="C28" s="61" t="s">
        <v>1115</v>
      </c>
      <c r="D28" s="20" t="s">
        <v>44</v>
      </c>
      <c r="E28" s="21" t="s">
        <v>1083</v>
      </c>
      <c r="F28" s="318">
        <v>460</v>
      </c>
      <c r="G28" s="318">
        <v>2080</v>
      </c>
      <c r="H28" s="23">
        <v>38</v>
      </c>
      <c r="I28" s="24"/>
      <c r="J28" s="348">
        <f t="shared" si="8"/>
        <v>460</v>
      </c>
      <c r="K28" s="349">
        <f t="shared" si="9"/>
        <v>0</v>
      </c>
      <c r="L28" s="88">
        <f t="shared" si="10"/>
        <v>0</v>
      </c>
      <c r="M28" s="27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36"/>
      <c r="AA28" s="25"/>
      <c r="AB28" s="25"/>
      <c r="AC28" s="25"/>
      <c r="AD28" s="25"/>
      <c r="AE28" s="25"/>
      <c r="AF28" s="36"/>
      <c r="AG28" s="25"/>
      <c r="AH28" s="25"/>
      <c r="AI28" s="25"/>
      <c r="AJ28" s="25"/>
      <c r="AK28" s="25"/>
      <c r="AL28" s="25"/>
      <c r="AM28" s="25"/>
      <c r="AN28" s="36"/>
      <c r="AO28" s="36"/>
      <c r="AP28" s="36"/>
      <c r="AQ28" s="25"/>
      <c r="AR28" s="25"/>
      <c r="AS28" s="25"/>
      <c r="AT28" s="25"/>
      <c r="AU28" s="25"/>
      <c r="AV28" s="25"/>
      <c r="AW28" s="382">
        <v>30</v>
      </c>
      <c r="AX28" s="382">
        <v>150</v>
      </c>
      <c r="AY28" s="382">
        <v>150</v>
      </c>
      <c r="AZ28" s="382">
        <v>130</v>
      </c>
      <c r="BA28" s="382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49"/>
      <c r="BM28" s="27"/>
      <c r="BN28" s="25"/>
      <c r="BO28" s="25"/>
      <c r="BP28" s="25"/>
      <c r="BQ28" s="25"/>
      <c r="BR28" s="25"/>
      <c r="BS28" s="25"/>
      <c r="BT28" s="25"/>
      <c r="BU28" s="25"/>
      <c r="BV28" s="28"/>
      <c r="BW28" s="152"/>
      <c r="BX28" s="152"/>
      <c r="BY28" s="152"/>
      <c r="BZ28" s="152"/>
      <c r="CA28" s="152"/>
      <c r="CB28" s="152"/>
      <c r="CC28" s="152"/>
      <c r="CD28" s="152"/>
      <c r="CE28" s="152"/>
    </row>
    <row r="29" spans="1:83" ht="20" customHeight="1">
      <c r="A29" s="45">
        <v>23053</v>
      </c>
      <c r="B29" s="346"/>
      <c r="C29" s="61" t="s">
        <v>1116</v>
      </c>
      <c r="D29" s="20" t="s">
        <v>54</v>
      </c>
      <c r="E29" s="21" t="s">
        <v>1407</v>
      </c>
      <c r="F29" s="318">
        <v>570</v>
      </c>
      <c r="G29" s="318">
        <v>2518</v>
      </c>
      <c r="H29" s="23">
        <f>Prosjektplan!E28</f>
        <v>4</v>
      </c>
      <c r="I29" s="24"/>
      <c r="J29" s="348">
        <f t="shared" si="8"/>
        <v>0</v>
      </c>
      <c r="K29" s="349">
        <f t="shared" si="9"/>
        <v>570</v>
      </c>
      <c r="L29" s="88">
        <f t="shared" si="10"/>
        <v>0</v>
      </c>
      <c r="M29" s="27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36"/>
      <c r="AA29" s="25"/>
      <c r="AB29" s="25"/>
      <c r="AC29" s="25"/>
      <c r="AD29" s="25"/>
      <c r="AE29" s="25"/>
      <c r="AF29" s="36"/>
      <c r="AG29" s="25"/>
      <c r="AH29" s="25"/>
      <c r="AI29" s="25"/>
      <c r="AJ29" s="25"/>
      <c r="AK29" s="25"/>
      <c r="AL29" s="25"/>
      <c r="AM29" s="25"/>
      <c r="AN29" s="60"/>
      <c r="AO29" s="36"/>
      <c r="AP29" s="36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49"/>
      <c r="BM29" s="27"/>
      <c r="BN29" s="25"/>
      <c r="BO29" s="25"/>
      <c r="BP29" s="25">
        <v>150</v>
      </c>
      <c r="BQ29" s="25">
        <v>150</v>
      </c>
      <c r="BR29" s="25">
        <v>150</v>
      </c>
      <c r="BS29" s="25">
        <v>120</v>
      </c>
      <c r="BT29" s="25"/>
      <c r="BU29" s="25"/>
      <c r="BV29" s="28"/>
      <c r="BW29" s="152"/>
      <c r="BX29" s="152"/>
      <c r="BY29" s="152"/>
      <c r="BZ29" s="152"/>
      <c r="CA29" s="152"/>
      <c r="CB29" s="152"/>
      <c r="CC29" s="152"/>
      <c r="CD29" s="152"/>
      <c r="CE29" s="152"/>
    </row>
    <row r="30" spans="1:83" ht="20" customHeight="1">
      <c r="A30" s="45">
        <v>23054</v>
      </c>
      <c r="B30" s="287"/>
      <c r="C30" s="61" t="s">
        <v>1124</v>
      </c>
      <c r="D30" s="20" t="s">
        <v>54</v>
      </c>
      <c r="E30" s="21" t="s">
        <v>1407</v>
      </c>
      <c r="F30" s="318">
        <v>1886</v>
      </c>
      <c r="G30" s="318">
        <v>8128</v>
      </c>
      <c r="H30" s="23">
        <v>17</v>
      </c>
      <c r="I30" s="24"/>
      <c r="J30" s="348">
        <f t="shared" si="8"/>
        <v>0</v>
      </c>
      <c r="K30" s="349">
        <f t="shared" si="9"/>
        <v>1886</v>
      </c>
      <c r="L30" s="88">
        <f t="shared" si="10"/>
        <v>0</v>
      </c>
      <c r="M30" s="27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36"/>
      <c r="AA30" s="25"/>
      <c r="AB30" s="25"/>
      <c r="AC30" s="25"/>
      <c r="AD30" s="25"/>
      <c r="AE30" s="25"/>
      <c r="AF30" s="36"/>
      <c r="AG30" s="25"/>
      <c r="AH30" s="25"/>
      <c r="AI30" s="25"/>
      <c r="AJ30" s="25"/>
      <c r="AK30" s="25"/>
      <c r="AL30" s="25"/>
      <c r="AM30" s="25"/>
      <c r="AN30" s="36"/>
      <c r="AO30" s="36"/>
      <c r="AP30" s="36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35"/>
      <c r="BK30" s="35"/>
      <c r="BL30" s="249"/>
      <c r="BM30" s="27"/>
      <c r="BN30" s="25">
        <v>200</v>
      </c>
      <c r="BO30" s="25">
        <v>200</v>
      </c>
      <c r="BP30" s="25">
        <v>200</v>
      </c>
      <c r="BQ30" s="25">
        <v>200</v>
      </c>
      <c r="BR30" s="25">
        <v>200</v>
      </c>
      <c r="BS30" s="25">
        <v>200</v>
      </c>
      <c r="BT30" s="25">
        <v>200</v>
      </c>
      <c r="BU30" s="25">
        <v>200</v>
      </c>
      <c r="BV30" s="28">
        <v>286</v>
      </c>
      <c r="BW30" s="152"/>
      <c r="BX30" s="152"/>
      <c r="BY30" s="152"/>
      <c r="BZ30" s="152"/>
      <c r="CA30" s="152"/>
      <c r="CB30" s="152"/>
      <c r="CC30" s="152"/>
      <c r="CD30" s="152"/>
      <c r="CE30" s="152"/>
    </row>
    <row r="31" spans="1:83" ht="20" customHeight="1">
      <c r="A31" s="45">
        <v>23057</v>
      </c>
      <c r="B31" s="346"/>
      <c r="C31" s="61" t="s">
        <v>1117</v>
      </c>
      <c r="D31" s="20" t="s">
        <v>102</v>
      </c>
      <c r="E31" s="21" t="s">
        <v>1083</v>
      </c>
      <c r="F31" s="318">
        <v>396</v>
      </c>
      <c r="G31" s="318">
        <v>1822</v>
      </c>
      <c r="H31" s="23">
        <v>46</v>
      </c>
      <c r="I31" s="24"/>
      <c r="J31" s="348">
        <f t="shared" si="8"/>
        <v>396</v>
      </c>
      <c r="K31" s="349">
        <f t="shared" si="9"/>
        <v>0</v>
      </c>
      <c r="L31" s="88">
        <f t="shared" si="10"/>
        <v>0</v>
      </c>
      <c r="M31" s="27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36"/>
      <c r="AA31" s="25"/>
      <c r="AB31" s="25"/>
      <c r="AC31" s="25"/>
      <c r="AD31" s="25"/>
      <c r="AE31" s="25"/>
      <c r="AF31" s="36"/>
      <c r="AG31" s="25"/>
      <c r="AH31" s="25"/>
      <c r="AI31" s="25"/>
      <c r="AJ31" s="25"/>
      <c r="AK31" s="25"/>
      <c r="AL31" s="25"/>
      <c r="AM31" s="25"/>
      <c r="AN31" s="36"/>
      <c r="AO31" s="36"/>
      <c r="AP31" s="36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>
        <v>75</v>
      </c>
      <c r="BG31" s="25">
        <v>75</v>
      </c>
      <c r="BH31" s="25">
        <v>100</v>
      </c>
      <c r="BI31" s="25">
        <v>100</v>
      </c>
      <c r="BJ31" s="25">
        <v>46</v>
      </c>
      <c r="BK31" s="35"/>
      <c r="BL31" s="249"/>
      <c r="BM31" s="27"/>
      <c r="BN31" s="25"/>
      <c r="BO31" s="25"/>
      <c r="BP31" s="25"/>
      <c r="BQ31" s="25"/>
      <c r="BR31" s="25"/>
      <c r="BS31" s="25"/>
      <c r="BT31" s="25"/>
      <c r="BU31" s="25"/>
      <c r="BV31" s="28"/>
      <c r="BW31" s="152"/>
      <c r="BX31" s="152"/>
      <c r="BY31" s="152"/>
      <c r="BZ31" s="152"/>
      <c r="CA31" s="152"/>
      <c r="CB31" s="152"/>
      <c r="CC31" s="152"/>
      <c r="CD31" s="152"/>
      <c r="CE31" s="152"/>
    </row>
    <row r="32" spans="1:83" ht="20" customHeight="1">
      <c r="A32" s="45">
        <v>23068</v>
      </c>
      <c r="B32" s="346"/>
      <c r="C32" s="61" t="s">
        <v>1118</v>
      </c>
      <c r="D32" s="20" t="s">
        <v>54</v>
      </c>
      <c r="E32" s="21" t="s">
        <v>1086</v>
      </c>
      <c r="F32" s="318">
        <v>348</v>
      </c>
      <c r="G32" s="318">
        <v>927</v>
      </c>
      <c r="H32" s="23">
        <v>49</v>
      </c>
      <c r="I32" s="24"/>
      <c r="J32" s="348">
        <f t="shared" si="8"/>
        <v>0</v>
      </c>
      <c r="K32" s="349">
        <f t="shared" si="9"/>
        <v>348</v>
      </c>
      <c r="L32" s="88">
        <f t="shared" si="10"/>
        <v>0</v>
      </c>
      <c r="M32" s="27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36"/>
      <c r="AA32" s="25"/>
      <c r="AB32" s="25"/>
      <c r="AC32" s="25"/>
      <c r="AD32" s="25"/>
      <c r="AE32" s="25"/>
      <c r="AF32" s="36"/>
      <c r="AG32" s="25"/>
      <c r="AH32" s="25"/>
      <c r="AI32" s="25"/>
      <c r="AJ32" s="25"/>
      <c r="AK32" s="25"/>
      <c r="AL32" s="25"/>
      <c r="AM32" s="25"/>
      <c r="AN32" s="36"/>
      <c r="AO32" s="36"/>
      <c r="AP32" s="36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49"/>
      <c r="BM32" s="27"/>
      <c r="BN32" s="25"/>
      <c r="BO32" s="25">
        <v>100</v>
      </c>
      <c r="BP32" s="25">
        <v>100</v>
      </c>
      <c r="BQ32" s="25">
        <v>148</v>
      </c>
      <c r="BR32" s="25"/>
      <c r="BS32" s="25"/>
      <c r="BT32" s="25"/>
      <c r="BU32" s="25"/>
      <c r="BV32" s="28"/>
      <c r="BW32" s="152"/>
      <c r="BX32" s="152"/>
      <c r="BY32" s="152"/>
      <c r="BZ32" s="152"/>
      <c r="CA32" s="152"/>
      <c r="CB32" s="152"/>
      <c r="CC32" s="152"/>
      <c r="CD32" s="152"/>
      <c r="CE32" s="152"/>
    </row>
    <row r="33" spans="1:83" ht="20" customHeight="1">
      <c r="A33" s="45">
        <v>23097</v>
      </c>
      <c r="B33" s="346"/>
      <c r="C33" s="61" t="s">
        <v>1133</v>
      </c>
      <c r="D33" s="20" t="s">
        <v>54</v>
      </c>
      <c r="E33" s="21" t="s">
        <v>1083</v>
      </c>
      <c r="F33" s="318">
        <v>738</v>
      </c>
      <c r="G33" s="318">
        <v>2378</v>
      </c>
      <c r="H33" s="23">
        <v>3</v>
      </c>
      <c r="I33" s="24"/>
      <c r="J33" s="348">
        <f t="shared" si="8"/>
        <v>0</v>
      </c>
      <c r="K33" s="349">
        <f t="shared" si="9"/>
        <v>738</v>
      </c>
      <c r="L33" s="88">
        <f t="shared" si="10"/>
        <v>0</v>
      </c>
      <c r="M33" s="27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36"/>
      <c r="AA33" s="25"/>
      <c r="AB33" s="25"/>
      <c r="AC33" s="25"/>
      <c r="AD33" s="25"/>
      <c r="AE33" s="25"/>
      <c r="AF33" s="36"/>
      <c r="AG33" s="25"/>
      <c r="AH33" s="25"/>
      <c r="AI33" s="25"/>
      <c r="AJ33" s="25"/>
      <c r="AK33" s="25"/>
      <c r="AL33" s="25"/>
      <c r="AM33" s="25"/>
      <c r="AN33" s="36"/>
      <c r="AO33" s="36"/>
      <c r="AP33" s="36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35"/>
      <c r="BK33" s="35"/>
      <c r="BL33" s="249"/>
      <c r="BM33" s="27"/>
      <c r="BN33" s="25"/>
      <c r="BO33" s="25">
        <v>150</v>
      </c>
      <c r="BP33" s="25">
        <v>150</v>
      </c>
      <c r="BQ33" s="25">
        <v>150</v>
      </c>
      <c r="BR33" s="25">
        <v>150</v>
      </c>
      <c r="BS33" s="25">
        <v>138</v>
      </c>
      <c r="BT33" s="25"/>
      <c r="BU33" s="25"/>
      <c r="BV33" s="28"/>
      <c r="BW33" s="152"/>
      <c r="BX33" s="152"/>
      <c r="BY33" s="152"/>
      <c r="BZ33" s="152"/>
      <c r="CA33" s="152"/>
      <c r="CB33" s="152"/>
      <c r="CC33" s="152"/>
      <c r="CD33" s="152"/>
      <c r="CE33" s="152"/>
    </row>
    <row r="34" spans="1:83" ht="20" customHeight="1">
      <c r="A34" s="45">
        <v>23101</v>
      </c>
      <c r="B34" s="346"/>
      <c r="C34" s="61" t="s">
        <v>1137</v>
      </c>
      <c r="D34" s="20" t="s">
        <v>54</v>
      </c>
      <c r="E34" s="21" t="s">
        <v>1083</v>
      </c>
      <c r="F34" s="318">
        <v>3480</v>
      </c>
      <c r="G34" s="318">
        <v>13250</v>
      </c>
      <c r="H34" s="23">
        <v>5</v>
      </c>
      <c r="I34" s="24"/>
      <c r="J34" s="348">
        <f t="shared" si="8"/>
        <v>0</v>
      </c>
      <c r="K34" s="349">
        <f t="shared" si="9"/>
        <v>3480</v>
      </c>
      <c r="L34" s="88">
        <f t="shared" si="10"/>
        <v>0</v>
      </c>
      <c r="M34" s="27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36"/>
      <c r="AA34" s="25"/>
      <c r="AB34" s="25"/>
      <c r="AC34" s="25"/>
      <c r="AD34" s="25"/>
      <c r="AE34" s="25"/>
      <c r="AF34" s="36"/>
      <c r="AG34" s="25"/>
      <c r="AH34" s="25"/>
      <c r="AI34" s="25"/>
      <c r="AJ34" s="25"/>
      <c r="AK34" s="25"/>
      <c r="AL34" s="25"/>
      <c r="AM34" s="25"/>
      <c r="AN34" s="36"/>
      <c r="AO34" s="36"/>
      <c r="AP34" s="36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49"/>
      <c r="BM34" s="27">
        <v>200</v>
      </c>
      <c r="BN34" s="25">
        <v>200</v>
      </c>
      <c r="BO34" s="25">
        <v>200</v>
      </c>
      <c r="BP34" s="25">
        <v>200</v>
      </c>
      <c r="BQ34" s="25">
        <v>200</v>
      </c>
      <c r="BR34" s="25">
        <v>200</v>
      </c>
      <c r="BS34" s="25">
        <v>200</v>
      </c>
      <c r="BT34" s="25">
        <v>200</v>
      </c>
      <c r="BU34" s="25">
        <v>200</v>
      </c>
      <c r="BV34" s="28">
        <v>1680</v>
      </c>
      <c r="BW34" s="152"/>
      <c r="BX34" s="152"/>
      <c r="BY34" s="152"/>
      <c r="BZ34" s="152"/>
      <c r="CA34" s="152"/>
      <c r="CB34" s="152"/>
      <c r="CC34" s="152"/>
      <c r="CD34" s="152"/>
      <c r="CE34" s="152"/>
    </row>
    <row r="35" spans="1:83" ht="20" customHeight="1">
      <c r="A35" s="45">
        <v>23100</v>
      </c>
      <c r="B35" s="346"/>
      <c r="C35" s="61" t="s">
        <v>1134</v>
      </c>
      <c r="D35" s="20" t="s">
        <v>54</v>
      </c>
      <c r="E35" s="21" t="s">
        <v>1414</v>
      </c>
      <c r="F35" s="318">
        <v>376</v>
      </c>
      <c r="G35" s="318">
        <v>1299</v>
      </c>
      <c r="H35" s="23">
        <v>6</v>
      </c>
      <c r="I35" s="24"/>
      <c r="J35" s="348">
        <f t="shared" ref="J35:J40" si="11">SUM(M35:BL35)</f>
        <v>0</v>
      </c>
      <c r="K35" s="349">
        <f t="shared" ref="K35:K40" si="12">SUM(BM35:BV35)</f>
        <v>376</v>
      </c>
      <c r="L35" s="88">
        <f t="shared" ref="L35:L41" si="13">F35-J35-K35</f>
        <v>0</v>
      </c>
      <c r="M35" s="27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36"/>
      <c r="AA35" s="25"/>
      <c r="AB35" s="25"/>
      <c r="AC35" s="25"/>
      <c r="AD35" s="25"/>
      <c r="AE35" s="25"/>
      <c r="AF35" s="36"/>
      <c r="AG35" s="25"/>
      <c r="AH35" s="25"/>
      <c r="AI35" s="25"/>
      <c r="AJ35" s="25"/>
      <c r="AK35" s="25"/>
      <c r="AL35" s="25"/>
      <c r="AM35" s="25"/>
      <c r="AN35" s="36"/>
      <c r="AO35" s="36"/>
      <c r="AP35" s="36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49"/>
      <c r="BM35" s="27"/>
      <c r="BN35" s="25"/>
      <c r="BO35" s="25"/>
      <c r="BP35" s="25">
        <v>150</v>
      </c>
      <c r="BQ35" s="25">
        <v>150</v>
      </c>
      <c r="BR35" s="25">
        <v>76</v>
      </c>
      <c r="BS35" s="25"/>
      <c r="BT35" s="25"/>
      <c r="BU35" s="25"/>
      <c r="BV35" s="28"/>
      <c r="BW35" s="152"/>
      <c r="BX35" s="152"/>
      <c r="BY35" s="152"/>
      <c r="BZ35" s="152"/>
      <c r="CA35" s="152"/>
      <c r="CB35" s="152"/>
      <c r="CC35" s="152"/>
      <c r="CD35" s="152"/>
      <c r="CE35" s="152"/>
    </row>
    <row r="36" spans="1:83" ht="20" customHeight="1">
      <c r="A36" s="45">
        <v>23055</v>
      </c>
      <c r="B36" s="346"/>
      <c r="C36" s="61" t="s">
        <v>1126</v>
      </c>
      <c r="D36" s="20" t="s">
        <v>54</v>
      </c>
      <c r="E36" s="21" t="s">
        <v>1108</v>
      </c>
      <c r="F36" s="318">
        <v>978</v>
      </c>
      <c r="G36" s="318">
        <v>4367</v>
      </c>
      <c r="H36" s="23">
        <v>5</v>
      </c>
      <c r="I36" s="24"/>
      <c r="J36" s="348">
        <f t="shared" si="11"/>
        <v>0</v>
      </c>
      <c r="K36" s="349">
        <f t="shared" si="12"/>
        <v>978</v>
      </c>
      <c r="L36" s="88">
        <f t="shared" si="13"/>
        <v>0</v>
      </c>
      <c r="M36" s="27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36"/>
      <c r="AA36" s="25"/>
      <c r="AB36" s="25"/>
      <c r="AC36" s="25"/>
      <c r="AD36" s="25"/>
      <c r="AE36" s="25"/>
      <c r="AF36" s="36"/>
      <c r="AG36" s="25"/>
      <c r="AH36" s="25"/>
      <c r="AI36" s="25"/>
      <c r="AJ36" s="25"/>
      <c r="AK36" s="25"/>
      <c r="AL36" s="25"/>
      <c r="AM36" s="25"/>
      <c r="AN36" s="36"/>
      <c r="AO36" s="36"/>
      <c r="AP36" s="36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49"/>
      <c r="BM36" s="27"/>
      <c r="BN36" s="25"/>
      <c r="BO36" s="25"/>
      <c r="BP36" s="25">
        <v>100</v>
      </c>
      <c r="BQ36" s="25">
        <v>100</v>
      </c>
      <c r="BR36" s="25">
        <v>200</v>
      </c>
      <c r="BS36" s="25">
        <v>200</v>
      </c>
      <c r="BT36" s="25">
        <v>200</v>
      </c>
      <c r="BU36" s="25">
        <v>100</v>
      </c>
      <c r="BV36" s="28">
        <v>78</v>
      </c>
      <c r="BW36" s="152"/>
      <c r="BX36" s="152"/>
      <c r="BY36" s="152"/>
      <c r="BZ36" s="152"/>
      <c r="CA36" s="152"/>
      <c r="CB36" s="152"/>
      <c r="CC36" s="152"/>
      <c r="CD36" s="152"/>
      <c r="CE36" s="152"/>
    </row>
    <row r="37" spans="1:83" ht="20" customHeight="1">
      <c r="A37" s="45">
        <v>23005</v>
      </c>
      <c r="B37" s="346"/>
      <c r="C37" s="61" t="s">
        <v>1107</v>
      </c>
      <c r="D37" s="20" t="s">
        <v>54</v>
      </c>
      <c r="E37" s="21" t="s">
        <v>1108</v>
      </c>
      <c r="F37" s="318">
        <v>4532</v>
      </c>
      <c r="G37" s="318">
        <v>20539</v>
      </c>
      <c r="H37" s="23"/>
      <c r="I37" s="24"/>
      <c r="J37" s="348">
        <f t="shared" si="11"/>
        <v>0</v>
      </c>
      <c r="K37" s="349">
        <f t="shared" si="12"/>
        <v>4532</v>
      </c>
      <c r="L37" s="88">
        <f t="shared" si="13"/>
        <v>0</v>
      </c>
      <c r="M37" s="27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36"/>
      <c r="AA37" s="25"/>
      <c r="AB37" s="25"/>
      <c r="AC37" s="25"/>
      <c r="AD37" s="25"/>
      <c r="AE37" s="25"/>
      <c r="AF37" s="36"/>
      <c r="AG37" s="25"/>
      <c r="AH37" s="25"/>
      <c r="AI37" s="25"/>
      <c r="AJ37" s="25"/>
      <c r="AK37" s="25"/>
      <c r="AL37" s="25"/>
      <c r="AM37" s="25"/>
      <c r="AN37" s="36"/>
      <c r="AO37" s="36"/>
      <c r="AP37" s="36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49"/>
      <c r="BM37" s="27"/>
      <c r="BN37" s="25"/>
      <c r="BO37" s="25"/>
      <c r="BP37" s="25"/>
      <c r="BQ37" s="25"/>
      <c r="BR37" s="25">
        <v>1000</v>
      </c>
      <c r="BS37" s="25">
        <v>1000</v>
      </c>
      <c r="BT37" s="25">
        <v>1000</v>
      </c>
      <c r="BU37" s="25">
        <v>1000</v>
      </c>
      <c r="BV37" s="28">
        <v>532</v>
      </c>
      <c r="BW37" s="152"/>
      <c r="BX37" s="152"/>
      <c r="BY37" s="152"/>
      <c r="BZ37" s="152"/>
      <c r="CA37" s="152"/>
      <c r="CB37" s="152"/>
      <c r="CC37" s="152"/>
      <c r="CD37" s="152"/>
      <c r="CE37" s="152"/>
    </row>
    <row r="38" spans="1:83" ht="20" customHeight="1">
      <c r="A38" s="45">
        <v>23073</v>
      </c>
      <c r="B38" s="346"/>
      <c r="C38" s="61" t="s">
        <v>1127</v>
      </c>
      <c r="D38" s="20" t="s">
        <v>54</v>
      </c>
      <c r="E38" s="21" t="s">
        <v>1083</v>
      </c>
      <c r="F38" s="318">
        <v>4291</v>
      </c>
      <c r="G38" s="318">
        <v>18883</v>
      </c>
      <c r="H38" s="23"/>
      <c r="I38" s="24"/>
      <c r="J38" s="348">
        <f t="shared" si="11"/>
        <v>0</v>
      </c>
      <c r="K38" s="349">
        <f t="shared" si="12"/>
        <v>4291</v>
      </c>
      <c r="L38" s="88">
        <f t="shared" si="13"/>
        <v>0</v>
      </c>
      <c r="M38" s="27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36"/>
      <c r="AA38" s="25"/>
      <c r="AB38" s="25"/>
      <c r="AC38" s="25"/>
      <c r="AD38" s="25"/>
      <c r="AE38" s="25"/>
      <c r="AF38" s="36"/>
      <c r="AG38" s="25"/>
      <c r="AH38" s="25"/>
      <c r="AI38" s="25"/>
      <c r="AJ38" s="25"/>
      <c r="AK38" s="25"/>
      <c r="AL38" s="25"/>
      <c r="AM38" s="25"/>
      <c r="AN38" s="36"/>
      <c r="AO38" s="36"/>
      <c r="AP38" s="36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49"/>
      <c r="BM38" s="27"/>
      <c r="BN38" s="25"/>
      <c r="BO38" s="25"/>
      <c r="BP38" s="25"/>
      <c r="BQ38" s="25"/>
      <c r="BR38" s="25"/>
      <c r="BS38" s="25">
        <v>1000</v>
      </c>
      <c r="BT38" s="25">
        <v>1000</v>
      </c>
      <c r="BU38" s="25">
        <v>1000</v>
      </c>
      <c r="BV38" s="28">
        <v>1291</v>
      </c>
      <c r="BW38" s="152"/>
      <c r="BX38" s="152"/>
      <c r="BY38" s="152"/>
      <c r="BZ38" s="152"/>
      <c r="CA38" s="152"/>
      <c r="CB38" s="152"/>
      <c r="CC38" s="152"/>
      <c r="CD38" s="152"/>
      <c r="CE38" s="152"/>
    </row>
    <row r="39" spans="1:83" ht="20" customHeight="1">
      <c r="A39" s="45">
        <v>23042</v>
      </c>
      <c r="B39" s="346"/>
      <c r="C39" s="61" t="s">
        <v>1122</v>
      </c>
      <c r="D39" s="20" t="s">
        <v>54</v>
      </c>
      <c r="E39" s="21" t="s">
        <v>1083</v>
      </c>
      <c r="F39" s="318">
        <v>1025</v>
      </c>
      <c r="G39" s="318">
        <v>4543</v>
      </c>
      <c r="H39" s="23" t="s">
        <v>1415</v>
      </c>
      <c r="I39" s="24"/>
      <c r="J39" s="348">
        <f t="shared" si="11"/>
        <v>400</v>
      </c>
      <c r="K39" s="349">
        <f t="shared" si="12"/>
        <v>625</v>
      </c>
      <c r="L39" s="88">
        <f t="shared" si="13"/>
        <v>0</v>
      </c>
      <c r="M39" s="27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36"/>
      <c r="AA39" s="25"/>
      <c r="AB39" s="25"/>
      <c r="AC39" s="25"/>
      <c r="AD39" s="25"/>
      <c r="AE39" s="25"/>
      <c r="AF39" s="36"/>
      <c r="AG39" s="25"/>
      <c r="AH39" s="25"/>
      <c r="AI39" s="25"/>
      <c r="AJ39" s="25"/>
      <c r="AK39" s="25"/>
      <c r="AL39" s="25"/>
      <c r="AM39" s="25"/>
      <c r="AN39" s="36"/>
      <c r="AO39" s="36"/>
      <c r="AP39" s="36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>
        <v>200</v>
      </c>
      <c r="BK39" s="25">
        <v>200</v>
      </c>
      <c r="BL39" s="249"/>
      <c r="BM39" s="27"/>
      <c r="BN39" s="25">
        <v>625</v>
      </c>
      <c r="BO39" s="25"/>
      <c r="BP39" s="25"/>
      <c r="BQ39" s="25"/>
      <c r="BR39" s="25"/>
      <c r="BS39" s="25"/>
      <c r="BT39" s="25"/>
      <c r="BU39" s="25"/>
      <c r="BV39" s="28"/>
      <c r="BW39" s="152"/>
      <c r="BX39" s="152"/>
      <c r="BY39" s="152"/>
      <c r="BZ39" s="152"/>
      <c r="CA39" s="152"/>
      <c r="CB39" s="152"/>
      <c r="CC39" s="152"/>
      <c r="CD39" s="152"/>
      <c r="CE39" s="152"/>
    </row>
    <row r="40" spans="1:83" ht="20" customHeight="1">
      <c r="A40" s="45"/>
      <c r="B40" s="425"/>
      <c r="C40" s="182"/>
      <c r="D40" s="20"/>
      <c r="E40" s="21"/>
      <c r="F40" s="318"/>
      <c r="G40" s="318"/>
      <c r="H40" s="23"/>
      <c r="I40" s="24"/>
      <c r="J40" s="348">
        <f t="shared" si="11"/>
        <v>0</v>
      </c>
      <c r="K40" s="349">
        <f t="shared" si="12"/>
        <v>0</v>
      </c>
      <c r="L40" s="88">
        <f t="shared" si="13"/>
        <v>0</v>
      </c>
      <c r="M40" s="27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36"/>
      <c r="AA40" s="25"/>
      <c r="AB40" s="25"/>
      <c r="AC40" s="25"/>
      <c r="AD40" s="25"/>
      <c r="AE40" s="25"/>
      <c r="AF40" s="36"/>
      <c r="AG40" s="25"/>
      <c r="AH40" s="25"/>
      <c r="AI40" s="25"/>
      <c r="AJ40" s="25"/>
      <c r="AK40" s="25"/>
      <c r="AL40" s="25"/>
      <c r="AM40" s="25"/>
      <c r="AN40" s="36"/>
      <c r="AO40" s="36"/>
      <c r="AP40" s="36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49"/>
      <c r="BM40" s="27"/>
      <c r="BN40" s="25"/>
      <c r="BO40" s="25"/>
      <c r="BP40" s="25"/>
      <c r="BQ40" s="25"/>
      <c r="BR40" s="25"/>
      <c r="BS40" s="25"/>
      <c r="BT40" s="25"/>
      <c r="BU40" s="25"/>
      <c r="BV40" s="28"/>
      <c r="BW40" s="152"/>
      <c r="BX40" s="152"/>
      <c r="BY40" s="152"/>
      <c r="BZ40" s="152"/>
      <c r="CA40" s="152"/>
      <c r="CB40" s="152"/>
      <c r="CC40" s="152"/>
      <c r="CD40" s="152"/>
      <c r="CE40" s="152"/>
    </row>
    <row r="41" spans="1:83" ht="20" customHeight="1">
      <c r="A41" s="45"/>
      <c r="B41" s="346"/>
      <c r="D41" s="20"/>
      <c r="E41" s="21"/>
      <c r="F41" s="22"/>
      <c r="G41" s="318"/>
      <c r="H41" s="23"/>
      <c r="I41" s="24"/>
      <c r="J41" s="348">
        <f t="shared" si="8"/>
        <v>0</v>
      </c>
      <c r="K41" s="349">
        <f t="shared" si="9"/>
        <v>0</v>
      </c>
      <c r="L41" s="88">
        <f t="shared" si="13"/>
        <v>0</v>
      </c>
      <c r="M41" s="27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36"/>
      <c r="AA41" s="25"/>
      <c r="AB41" s="25"/>
      <c r="AC41" s="25"/>
      <c r="AD41" s="25"/>
      <c r="AE41" s="25"/>
      <c r="AF41" s="36"/>
      <c r="AG41" s="25"/>
      <c r="AH41" s="25"/>
      <c r="AI41" s="25"/>
      <c r="AJ41" s="25"/>
      <c r="AK41" s="25"/>
      <c r="AL41" s="25"/>
      <c r="AM41" s="25"/>
      <c r="AN41" s="36"/>
      <c r="AO41" s="36"/>
      <c r="AP41" s="36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35"/>
      <c r="BK41" s="35"/>
      <c r="BL41" s="249"/>
      <c r="BM41" s="27"/>
      <c r="BN41" s="25"/>
      <c r="BO41" s="25"/>
      <c r="BP41" s="25"/>
      <c r="BQ41" s="25"/>
      <c r="BR41" s="25"/>
      <c r="BS41" s="25"/>
      <c r="BT41" s="25"/>
      <c r="BU41" s="25"/>
      <c r="BV41" s="28"/>
      <c r="BW41" s="152"/>
      <c r="BX41" s="152"/>
      <c r="BY41" s="152"/>
      <c r="BZ41" s="152"/>
      <c r="CA41" s="152"/>
      <c r="CB41" s="152"/>
      <c r="CC41" s="152"/>
      <c r="CD41" s="152"/>
      <c r="CE41" s="152"/>
    </row>
    <row r="42" spans="1:83" ht="20" customHeight="1" thickBot="1">
      <c r="A42" s="48"/>
      <c r="B42" s="347"/>
      <c r="C42" s="182"/>
      <c r="D42" s="177"/>
      <c r="E42" s="178"/>
      <c r="F42" s="179"/>
      <c r="G42" s="319"/>
      <c r="H42" s="180"/>
      <c r="I42" s="181"/>
      <c r="J42" s="348">
        <f t="shared" si="8"/>
        <v>0</v>
      </c>
      <c r="K42" s="349">
        <f t="shared" si="9"/>
        <v>0</v>
      </c>
      <c r="L42" s="88">
        <f t="shared" si="10"/>
        <v>0</v>
      </c>
      <c r="M42" s="27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36"/>
      <c r="AA42" s="25"/>
      <c r="AB42" s="25"/>
      <c r="AC42" s="25"/>
      <c r="AD42" s="25"/>
      <c r="AE42" s="25"/>
      <c r="AF42" s="36"/>
      <c r="AG42" s="25"/>
      <c r="AH42" s="25"/>
      <c r="AI42" s="25"/>
      <c r="AJ42" s="25"/>
      <c r="AK42" s="25"/>
      <c r="AL42" s="25"/>
      <c r="AM42" s="25"/>
      <c r="AN42" s="36"/>
      <c r="AO42" s="36"/>
      <c r="AP42" s="36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35"/>
      <c r="BK42" s="35"/>
      <c r="BL42" s="249"/>
      <c r="BM42" s="369"/>
      <c r="BN42" s="370"/>
      <c r="BO42" s="370"/>
      <c r="BP42" s="370"/>
      <c r="BQ42" s="370"/>
      <c r="BR42" s="370"/>
      <c r="BS42" s="370"/>
      <c r="BT42" s="370"/>
      <c r="BU42" s="370"/>
      <c r="BV42" s="371"/>
      <c r="BW42" s="152"/>
      <c r="BX42" s="152"/>
      <c r="BY42" s="152"/>
      <c r="BZ42" s="152"/>
      <c r="CA42" s="152"/>
      <c r="CB42" s="152"/>
      <c r="CC42" s="152"/>
      <c r="CD42" s="152"/>
      <c r="CE42" s="152"/>
    </row>
    <row r="43" spans="1:83" s="29" customFormat="1" ht="20" customHeight="1">
      <c r="A43" s="174"/>
      <c r="B43" s="174"/>
      <c r="C43" s="163"/>
      <c r="D43" s="163"/>
      <c r="E43" s="163"/>
      <c r="F43" s="163"/>
      <c r="G43" s="163"/>
      <c r="H43" s="175"/>
      <c r="I43" s="175"/>
      <c r="J43" s="163"/>
      <c r="K43" s="163"/>
      <c r="L43" s="175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 t="s">
        <v>1416</v>
      </c>
      <c r="AG43" s="163"/>
      <c r="AH43" s="163"/>
      <c r="AI43" s="163"/>
      <c r="AJ43" s="163"/>
      <c r="AK43" s="163"/>
      <c r="AL43" s="163"/>
      <c r="AM43" s="163"/>
      <c r="AN43" s="152"/>
      <c r="AO43" s="152"/>
      <c r="AP43" s="152"/>
      <c r="AQ43" s="152"/>
      <c r="AR43" s="163"/>
      <c r="AS43" s="163"/>
      <c r="AT43" s="163"/>
      <c r="AU43" s="163"/>
      <c r="AV43" s="163"/>
      <c r="AW43" s="163"/>
      <c r="AX43" s="163"/>
      <c r="AY43" s="163"/>
      <c r="AZ43" s="163"/>
      <c r="BA43" s="163"/>
      <c r="BB43" s="163"/>
      <c r="BC43" s="163"/>
      <c r="BD43" s="163"/>
      <c r="BE43" s="163"/>
      <c r="BF43" s="163"/>
      <c r="BG43" s="163"/>
      <c r="BH43" s="163"/>
      <c r="BI43" s="163"/>
      <c r="BJ43" s="163"/>
      <c r="BK43" s="163"/>
      <c r="BL43" s="163"/>
      <c r="BM43" s="163"/>
      <c r="BN43" s="163"/>
      <c r="BO43" s="163"/>
      <c r="BP43" s="163"/>
      <c r="BQ43" s="163"/>
      <c r="BR43" s="163"/>
      <c r="BS43" s="163"/>
      <c r="BT43" s="163"/>
      <c r="BU43" s="163"/>
      <c r="BV43" s="163"/>
      <c r="BW43" s="163"/>
      <c r="BX43" s="163"/>
      <c r="BY43" s="163"/>
      <c r="BZ43" s="163"/>
      <c r="CA43" s="163"/>
      <c r="CB43" s="163"/>
      <c r="CC43" s="163"/>
      <c r="CD43" s="163"/>
      <c r="CE43" s="163"/>
    </row>
    <row r="44" spans="1:83" ht="20" customHeight="1">
      <c r="A44" s="168"/>
      <c r="B44" s="168"/>
      <c r="C44" s="152"/>
      <c r="D44" s="157"/>
      <c r="E44" s="154"/>
      <c r="F44" s="154"/>
      <c r="G44" s="154"/>
      <c r="H44" s="176"/>
      <c r="I44" s="176"/>
      <c r="J44" s="154"/>
      <c r="K44" s="154"/>
      <c r="L44" s="176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 t="s">
        <v>1417</v>
      </c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  <c r="BK44" s="152"/>
      <c r="BL44" s="152"/>
      <c r="BM44" s="152"/>
      <c r="BN44" s="152"/>
      <c r="BO44" s="152"/>
      <c r="BP44" s="152"/>
      <c r="BQ44" s="152"/>
      <c r="BR44" s="152"/>
      <c r="BS44" s="152"/>
      <c r="BT44" s="152"/>
      <c r="BU44" s="152"/>
      <c r="BV44" s="152"/>
      <c r="BW44" s="152"/>
      <c r="BX44" s="152"/>
      <c r="BY44" s="152"/>
      <c r="BZ44" s="152"/>
      <c r="CA44" s="152"/>
      <c r="CB44" s="152"/>
      <c r="CC44" s="152"/>
      <c r="CD44" s="152"/>
      <c r="CE44" s="152"/>
    </row>
    <row r="45" spans="1:83" ht="20" customHeight="1">
      <c r="A45" s="168"/>
      <c r="B45" s="168"/>
      <c r="C45" s="152"/>
      <c r="D45" s="157"/>
      <c r="E45" s="154"/>
      <c r="F45" s="154"/>
      <c r="G45" s="154"/>
      <c r="H45" s="176"/>
      <c r="I45" s="176"/>
      <c r="J45" s="154"/>
      <c r="K45" s="154"/>
      <c r="L45" s="176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  <c r="BG45" s="152"/>
      <c r="BH45" s="152"/>
      <c r="BI45" s="152"/>
      <c r="BJ45" s="152"/>
      <c r="BK45" s="152"/>
      <c r="BL45" s="152"/>
      <c r="BM45" s="152"/>
      <c r="BN45" s="152"/>
      <c r="BO45" s="152"/>
      <c r="BP45" s="152"/>
      <c r="BQ45" s="152"/>
      <c r="BR45" s="152"/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</row>
    <row r="46" spans="1:83" ht="20" customHeight="1">
      <c r="A46" s="157"/>
      <c r="B46" s="157"/>
      <c r="C46" s="154"/>
      <c r="D46" s="157"/>
      <c r="E46" s="154"/>
      <c r="F46" s="154"/>
      <c r="G46" s="154"/>
      <c r="H46" s="176"/>
      <c r="I46" s="176"/>
      <c r="J46" s="154"/>
      <c r="K46" s="154"/>
      <c r="L46" s="176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  <c r="BK46" s="152"/>
      <c r="BL46" s="152"/>
      <c r="BM46" s="152"/>
      <c r="BN46" s="152"/>
      <c r="BO46" s="152"/>
      <c r="BP46" s="152"/>
      <c r="BQ46" s="152"/>
      <c r="BR46" s="152"/>
      <c r="BS46" s="152"/>
      <c r="BT46" s="152"/>
      <c r="BU46" s="152"/>
      <c r="BV46" s="152"/>
      <c r="BW46" s="152"/>
      <c r="BX46" s="152"/>
      <c r="BY46" s="152"/>
      <c r="BZ46" s="152"/>
      <c r="CA46" s="152"/>
      <c r="CB46" s="152"/>
      <c r="CC46" s="152"/>
      <c r="CD46" s="152"/>
      <c r="CE46" s="152"/>
    </row>
    <row r="47" spans="1:83" s="11" customFormat="1" ht="20" customHeight="1">
      <c r="A47" s="154"/>
      <c r="B47" s="154"/>
      <c r="C47" s="154"/>
      <c r="D47" s="154"/>
      <c r="E47" s="154"/>
      <c r="F47" s="154"/>
      <c r="G47" s="154"/>
      <c r="H47" s="176"/>
      <c r="I47" s="176"/>
      <c r="J47" s="154"/>
      <c r="K47" s="154"/>
      <c r="L47" s="176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</row>
    <row r="48" spans="1:83" s="12" customFormat="1" ht="22" customHeight="1">
      <c r="A48" s="170"/>
      <c r="B48" s="170"/>
      <c r="C48" s="163"/>
      <c r="D48" s="170"/>
      <c r="E48" s="163"/>
      <c r="F48" s="163"/>
      <c r="G48" s="163"/>
      <c r="H48" s="175"/>
      <c r="I48" s="175"/>
      <c r="J48" s="163"/>
      <c r="K48" s="163"/>
      <c r="L48" s="17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5"/>
      <c r="AX48" s="155"/>
      <c r="AY48" s="155"/>
      <c r="AZ48" s="155"/>
      <c r="BA48" s="155"/>
      <c r="BB48" s="155"/>
      <c r="BC48" s="155"/>
      <c r="BD48" s="155"/>
      <c r="BE48" s="155"/>
      <c r="BF48" s="155"/>
      <c r="BG48" s="155"/>
      <c r="BH48" s="155"/>
      <c r="BI48" s="155"/>
      <c r="BJ48" s="155"/>
      <c r="BK48" s="155"/>
      <c r="BL48" s="155"/>
      <c r="BM48" s="155"/>
      <c r="BN48" s="155"/>
      <c r="BO48" s="155"/>
      <c r="BP48" s="155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55"/>
      <c r="CB48" s="155"/>
      <c r="CC48" s="155"/>
      <c r="CD48" s="155"/>
      <c r="CE48" s="155"/>
    </row>
    <row r="49" spans="1:83" ht="22" customHeight="1">
      <c r="A49" s="157"/>
      <c r="B49" s="157"/>
      <c r="C49" s="154"/>
      <c r="D49" s="157"/>
      <c r="E49" s="154"/>
      <c r="F49" s="154"/>
      <c r="G49" s="154"/>
      <c r="H49" s="176"/>
      <c r="I49" s="176"/>
      <c r="J49" s="154"/>
      <c r="K49" s="154"/>
      <c r="L49" s="176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  <c r="BK49" s="152"/>
      <c r="BL49" s="152"/>
      <c r="BM49" s="152"/>
      <c r="BN49" s="152"/>
      <c r="BO49" s="152"/>
      <c r="BP49" s="152"/>
      <c r="BQ49" s="152"/>
      <c r="BR49" s="152"/>
      <c r="BS49" s="152"/>
      <c r="BT49" s="152"/>
      <c r="BU49" s="152"/>
      <c r="BV49" s="152"/>
      <c r="BW49" s="152"/>
      <c r="BX49" s="152"/>
      <c r="BY49" s="152"/>
      <c r="BZ49" s="152"/>
      <c r="CA49" s="152"/>
      <c r="CB49" s="152"/>
      <c r="CC49" s="152"/>
      <c r="CD49" s="152"/>
      <c r="CE49" s="152"/>
    </row>
    <row r="50" spans="1:83" ht="22" customHeight="1">
      <c r="A50" s="157"/>
      <c r="B50" s="157"/>
      <c r="C50" s="154"/>
      <c r="D50" s="157"/>
      <c r="E50" s="154"/>
      <c r="F50" s="154"/>
      <c r="G50" s="154"/>
      <c r="H50" s="176"/>
      <c r="I50" s="176"/>
      <c r="J50" s="154"/>
      <c r="K50" s="154"/>
      <c r="L50" s="176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  <c r="BI50" s="152"/>
      <c r="BJ50" s="152"/>
      <c r="BK50" s="152"/>
      <c r="BL50" s="152"/>
      <c r="BM50" s="152"/>
      <c r="BN50" s="152"/>
      <c r="BO50" s="152"/>
      <c r="BP50" s="152"/>
      <c r="BQ50" s="152"/>
      <c r="BR50" s="152"/>
      <c r="BS50" s="152"/>
      <c r="BT50" s="152"/>
      <c r="BU50" s="152"/>
      <c r="BV50" s="152"/>
      <c r="BW50" s="152"/>
      <c r="BX50" s="152"/>
      <c r="BY50" s="152"/>
      <c r="BZ50" s="152"/>
      <c r="CA50" s="152"/>
      <c r="CB50" s="152"/>
      <c r="CC50" s="152"/>
      <c r="CD50" s="152"/>
      <c r="CE50" s="152"/>
    </row>
    <row r="51" spans="1:83" s="2" customFormat="1" ht="22" customHeight="1">
      <c r="A51" s="255"/>
      <c r="B51" s="255"/>
      <c r="C51" s="256"/>
      <c r="D51" s="255"/>
      <c r="E51" s="256"/>
      <c r="F51" s="256"/>
      <c r="G51" s="256"/>
      <c r="H51" s="212"/>
      <c r="I51" s="212"/>
      <c r="J51" s="256"/>
      <c r="K51" s="256"/>
      <c r="L51" s="212"/>
      <c r="M51" s="257"/>
      <c r="N51" s="257"/>
      <c r="O51" s="257"/>
      <c r="P51" s="257"/>
      <c r="Q51" s="257"/>
      <c r="R51" s="257"/>
      <c r="S51" s="257"/>
      <c r="T51" s="257"/>
      <c r="U51" s="257"/>
      <c r="V51" s="257"/>
      <c r="W51" s="257"/>
      <c r="X51" s="257"/>
      <c r="Y51" s="257"/>
      <c r="Z51" s="257"/>
      <c r="AA51" s="257"/>
      <c r="AB51" s="257"/>
      <c r="AC51" s="257"/>
      <c r="AD51" s="257"/>
      <c r="AE51" s="257"/>
      <c r="AF51" s="257"/>
      <c r="AG51" s="257"/>
      <c r="AH51" s="257"/>
      <c r="AI51" s="257"/>
      <c r="AJ51" s="257"/>
      <c r="AK51" s="257"/>
      <c r="AL51" s="257"/>
      <c r="AM51" s="257"/>
      <c r="AN51" s="257"/>
      <c r="AO51" s="257"/>
      <c r="AP51" s="257"/>
      <c r="AQ51" s="257"/>
      <c r="AR51" s="257"/>
      <c r="AS51" s="257"/>
      <c r="AT51" s="257"/>
      <c r="AU51" s="257"/>
      <c r="AV51" s="257"/>
      <c r="AW51" s="257"/>
      <c r="AX51" s="257"/>
      <c r="AY51" s="257"/>
      <c r="AZ51" s="257"/>
      <c r="BA51" s="257"/>
      <c r="BB51" s="257"/>
      <c r="BC51" s="257"/>
      <c r="BD51" s="257"/>
      <c r="BE51" s="257"/>
      <c r="BF51" s="257"/>
      <c r="BG51" s="257"/>
      <c r="BH51" s="257"/>
      <c r="BI51" s="257"/>
      <c r="BJ51" s="257"/>
      <c r="BK51" s="257"/>
      <c r="BL51" s="257"/>
      <c r="BM51" s="257"/>
      <c r="BN51" s="257"/>
      <c r="BO51" s="257"/>
      <c r="BP51" s="257"/>
      <c r="BQ51" s="257"/>
      <c r="BR51" s="257"/>
      <c r="BS51" s="257"/>
      <c r="BT51" s="257"/>
      <c r="BU51" s="257"/>
      <c r="BV51" s="257"/>
      <c r="BW51" s="257"/>
      <c r="BX51" s="257"/>
      <c r="BY51" s="257"/>
      <c r="BZ51" s="257"/>
      <c r="CA51" s="257"/>
      <c r="CB51" s="257"/>
      <c r="CC51" s="257"/>
      <c r="CD51" s="257"/>
      <c r="CE51" s="257"/>
    </row>
    <row r="52" spans="1:83" s="11" customFormat="1" ht="22" customHeight="1">
      <c r="A52" s="154"/>
      <c r="B52" s="154"/>
      <c r="C52" s="154"/>
      <c r="D52" s="154"/>
      <c r="E52" s="154"/>
      <c r="F52" s="154"/>
      <c r="G52" s="154"/>
      <c r="H52" s="176"/>
      <c r="I52" s="176"/>
      <c r="J52" s="154"/>
      <c r="K52" s="154"/>
      <c r="L52" s="176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  <c r="AO52" s="154"/>
      <c r="AP52" s="154"/>
      <c r="AQ52" s="154"/>
      <c r="AR52" s="154"/>
      <c r="AS52" s="154"/>
      <c r="AT52" s="154"/>
      <c r="AU52" s="154"/>
      <c r="AV52" s="154"/>
      <c r="AW52" s="154"/>
      <c r="AX52" s="154"/>
      <c r="AY52" s="154"/>
      <c r="AZ52" s="154"/>
      <c r="BA52" s="154"/>
      <c r="BB52" s="154"/>
      <c r="BC52" s="154"/>
      <c r="BD52" s="154"/>
      <c r="BE52" s="154"/>
      <c r="BF52" s="154"/>
      <c r="BG52" s="154"/>
      <c r="BH52" s="154"/>
      <c r="BI52" s="154"/>
      <c r="BJ52" s="154"/>
      <c r="BK52" s="154"/>
      <c r="BL52" s="154"/>
      <c r="BM52" s="154"/>
      <c r="BN52" s="154"/>
      <c r="BO52" s="154"/>
      <c r="BP52" s="154"/>
      <c r="BQ52" s="154"/>
      <c r="BR52" s="154"/>
      <c r="BS52" s="154"/>
      <c r="BT52" s="154"/>
      <c r="BU52" s="154"/>
      <c r="BV52" s="154"/>
      <c r="BW52" s="154"/>
      <c r="BX52" s="154"/>
      <c r="BY52" s="154"/>
      <c r="BZ52" s="154"/>
      <c r="CA52" s="154"/>
      <c r="CB52" s="154"/>
      <c r="CC52" s="154"/>
      <c r="CD52" s="154"/>
      <c r="CE52" s="154"/>
    </row>
    <row r="53" spans="1:83" s="12" customFormat="1" ht="22" customHeight="1">
      <c r="A53" s="170"/>
      <c r="B53" s="170"/>
      <c r="C53" s="163"/>
      <c r="D53" s="170"/>
      <c r="E53" s="163"/>
      <c r="F53" s="163"/>
      <c r="G53" s="163"/>
      <c r="H53" s="175"/>
      <c r="I53" s="175"/>
      <c r="J53" s="163"/>
      <c r="K53" s="163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  <c r="AO53" s="155"/>
      <c r="AP53" s="155"/>
      <c r="AQ53" s="155"/>
      <c r="AR53" s="155"/>
      <c r="AS53" s="155"/>
      <c r="AT53" s="155"/>
      <c r="AU53" s="155"/>
      <c r="AV53" s="155"/>
      <c r="AW53" s="155"/>
      <c r="AX53" s="155"/>
      <c r="AY53" s="155"/>
      <c r="AZ53" s="155"/>
      <c r="BA53" s="155"/>
      <c r="BB53" s="155"/>
      <c r="BC53" s="155"/>
      <c r="BD53" s="155"/>
      <c r="BE53" s="155"/>
      <c r="BF53" s="155"/>
      <c r="BG53" s="155"/>
      <c r="BH53" s="155"/>
      <c r="BI53" s="155"/>
      <c r="BJ53" s="155"/>
      <c r="BK53" s="155"/>
      <c r="BL53" s="155"/>
      <c r="BM53" s="155"/>
      <c r="BN53" s="155"/>
      <c r="BO53" s="155"/>
      <c r="BP53" s="155"/>
      <c r="BQ53" s="155"/>
      <c r="BR53" s="155"/>
      <c r="BS53" s="155"/>
      <c r="BT53" s="155"/>
      <c r="BU53" s="155"/>
      <c r="BV53" s="155"/>
      <c r="BW53" s="155"/>
      <c r="BX53" s="155"/>
      <c r="BY53" s="155"/>
      <c r="BZ53" s="155"/>
      <c r="CA53" s="155"/>
      <c r="CB53" s="155"/>
      <c r="CC53" s="155"/>
      <c r="CD53" s="155"/>
      <c r="CE53" s="155"/>
    </row>
    <row r="54" spans="1:83" ht="22" customHeight="1">
      <c r="A54" s="152"/>
      <c r="B54" s="152"/>
      <c r="C54" s="152"/>
      <c r="D54" s="157"/>
      <c r="E54" s="154"/>
      <c r="F54" s="154"/>
      <c r="G54" s="154"/>
      <c r="H54" s="176"/>
      <c r="I54" s="176"/>
      <c r="J54" s="154"/>
      <c r="K54" s="154"/>
      <c r="L54" s="176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  <c r="BK54" s="152"/>
      <c r="BL54" s="152"/>
      <c r="BM54" s="152"/>
      <c r="BN54" s="152"/>
      <c r="BO54" s="152"/>
      <c r="BP54" s="152"/>
      <c r="BQ54" s="152"/>
      <c r="BR54" s="152"/>
      <c r="BS54" s="152"/>
      <c r="BT54" s="152"/>
      <c r="BU54" s="152"/>
      <c r="BV54" s="152"/>
      <c r="BW54" s="152"/>
      <c r="BX54" s="152"/>
      <c r="BY54" s="152"/>
      <c r="BZ54" s="152"/>
      <c r="CA54" s="152"/>
      <c r="CB54" s="152"/>
      <c r="CC54" s="152"/>
      <c r="CD54" s="152"/>
      <c r="CE54" s="152"/>
    </row>
    <row r="55" spans="1:83" ht="22" customHeight="1">
      <c r="A55" s="152"/>
      <c r="B55" s="152"/>
      <c r="C55" s="152"/>
      <c r="D55" s="157"/>
      <c r="E55" s="154"/>
      <c r="F55" s="154"/>
      <c r="G55" s="154"/>
      <c r="H55" s="176"/>
      <c r="I55" s="176"/>
      <c r="J55" s="154"/>
      <c r="K55" s="154"/>
      <c r="L55" s="176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  <c r="BK55" s="152"/>
      <c r="BL55" s="152"/>
      <c r="BM55" s="152"/>
      <c r="BN55" s="152"/>
      <c r="BO55" s="152"/>
      <c r="BP55" s="152"/>
      <c r="BQ55" s="152"/>
      <c r="BR55" s="152"/>
      <c r="BS55" s="152"/>
      <c r="BT55" s="152"/>
      <c r="BU55" s="152"/>
      <c r="BV55" s="152"/>
      <c r="BW55" s="152"/>
      <c r="BX55" s="152"/>
      <c r="BY55" s="152"/>
      <c r="BZ55" s="152"/>
      <c r="CA55" s="152"/>
      <c r="CB55" s="152"/>
      <c r="CC55" s="152"/>
      <c r="CD55" s="152"/>
      <c r="CE55" s="152"/>
    </row>
    <row r="56" spans="1:83" ht="22" customHeight="1">
      <c r="A56" s="157"/>
      <c r="B56" s="157"/>
      <c r="C56" s="154"/>
      <c r="D56" s="157"/>
      <c r="E56" s="154"/>
      <c r="F56" s="154"/>
      <c r="G56" s="154"/>
      <c r="H56" s="176"/>
      <c r="I56" s="176"/>
      <c r="J56" s="154"/>
      <c r="K56" s="154"/>
      <c r="L56" s="176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  <c r="BK56" s="152"/>
      <c r="BL56" s="152"/>
      <c r="BM56" s="152"/>
      <c r="BN56" s="152"/>
      <c r="BO56" s="152"/>
      <c r="BP56" s="152"/>
      <c r="BQ56" s="152"/>
      <c r="BR56" s="152"/>
      <c r="BS56" s="152"/>
      <c r="BT56" s="152"/>
      <c r="BU56" s="152"/>
      <c r="BV56" s="152"/>
      <c r="BW56" s="152"/>
      <c r="BX56" s="152"/>
      <c r="BY56" s="152"/>
      <c r="BZ56" s="152"/>
      <c r="CA56" s="152"/>
      <c r="CB56" s="152"/>
      <c r="CC56" s="152"/>
      <c r="CD56" s="152"/>
      <c r="CE56" s="152"/>
    </row>
    <row r="57" spans="1:83" s="11" customFormat="1" ht="22" customHeight="1">
      <c r="A57" s="154"/>
      <c r="B57" s="154"/>
      <c r="C57" s="154"/>
      <c r="D57" s="154"/>
      <c r="E57" s="154"/>
      <c r="F57" s="154"/>
      <c r="G57" s="154"/>
      <c r="H57" s="176"/>
      <c r="I57" s="176"/>
      <c r="J57" s="154"/>
      <c r="K57" s="154"/>
      <c r="L57" s="176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4"/>
      <c r="AP57" s="154"/>
      <c r="AQ57" s="154"/>
      <c r="AR57" s="154"/>
      <c r="AS57" s="154"/>
      <c r="AT57" s="154"/>
      <c r="AU57" s="154"/>
      <c r="AV57" s="154"/>
      <c r="AW57" s="154"/>
      <c r="AX57" s="154"/>
      <c r="AY57" s="154"/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54"/>
      <c r="BO57" s="154"/>
      <c r="BP57" s="154"/>
      <c r="BQ57" s="154"/>
      <c r="BR57" s="154"/>
      <c r="BS57" s="154"/>
      <c r="BT57" s="154"/>
      <c r="BU57" s="154"/>
      <c r="BV57" s="154"/>
      <c r="BW57" s="154"/>
      <c r="BX57" s="154"/>
      <c r="BY57" s="154"/>
      <c r="BZ57" s="154"/>
      <c r="CA57" s="154"/>
      <c r="CB57" s="154"/>
      <c r="CC57" s="154"/>
      <c r="CD57" s="154"/>
      <c r="CE57" s="154"/>
    </row>
    <row r="58" spans="1:83" ht="22" customHeight="1">
      <c r="A58" s="157"/>
      <c r="B58" s="157"/>
      <c r="C58" s="154"/>
      <c r="D58" s="157"/>
      <c r="E58" s="154"/>
      <c r="F58" s="154"/>
      <c r="G58" s="154"/>
      <c r="H58" s="176"/>
      <c r="I58" s="176"/>
      <c r="J58" s="154"/>
      <c r="K58" s="154"/>
      <c r="L58" s="176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  <c r="BK58" s="152"/>
      <c r="BL58" s="152"/>
      <c r="BM58" s="152"/>
      <c r="BN58" s="152"/>
      <c r="BO58" s="152"/>
      <c r="BP58" s="152"/>
      <c r="BQ58" s="152"/>
      <c r="BR58" s="152"/>
      <c r="BS58" s="152"/>
      <c r="BT58" s="152"/>
      <c r="BU58" s="152"/>
      <c r="BV58" s="152"/>
      <c r="BW58" s="152"/>
      <c r="BX58" s="152"/>
      <c r="BY58" s="152"/>
      <c r="BZ58" s="152"/>
      <c r="CA58" s="152"/>
      <c r="CB58" s="152"/>
      <c r="CC58" s="152"/>
      <c r="CD58" s="152"/>
      <c r="CE58" s="152"/>
    </row>
    <row r="59" spans="1:83">
      <c r="A59" s="157"/>
      <c r="B59" s="157"/>
      <c r="C59" s="154"/>
      <c r="D59" s="157"/>
      <c r="E59" s="154"/>
      <c r="F59" s="154"/>
      <c r="G59" s="154"/>
      <c r="H59" s="176"/>
      <c r="I59" s="176"/>
      <c r="J59" s="154"/>
      <c r="K59" s="154"/>
      <c r="L59" s="176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52"/>
      <c r="BL59" s="152"/>
      <c r="BM59" s="152"/>
      <c r="BN59" s="152"/>
      <c r="BO59" s="152"/>
      <c r="BP59" s="152"/>
      <c r="BQ59" s="152"/>
      <c r="BR59" s="152"/>
      <c r="BS59" s="152"/>
      <c r="BT59" s="152"/>
      <c r="BU59" s="152"/>
      <c r="BV59" s="152"/>
      <c r="BW59" s="152"/>
      <c r="BX59" s="152"/>
      <c r="BY59" s="152"/>
      <c r="BZ59" s="152"/>
      <c r="CA59" s="152"/>
      <c r="CB59" s="152"/>
      <c r="CC59" s="152"/>
      <c r="CD59" s="152"/>
      <c r="CE59" s="152"/>
    </row>
    <row r="60" spans="1:83">
      <c r="A60" s="157"/>
      <c r="B60" s="157"/>
      <c r="C60" s="154"/>
      <c r="D60" s="157"/>
      <c r="E60" s="154"/>
      <c r="F60" s="154"/>
      <c r="G60" s="154"/>
      <c r="H60" s="176"/>
      <c r="I60" s="176"/>
      <c r="J60" s="154"/>
      <c r="K60" s="154"/>
      <c r="L60" s="176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  <c r="BK60" s="152"/>
      <c r="BL60" s="152"/>
      <c r="BM60" s="152"/>
      <c r="BN60" s="152"/>
      <c r="BO60" s="152"/>
      <c r="BP60" s="152"/>
      <c r="BQ60" s="152"/>
      <c r="BR60" s="152"/>
      <c r="BS60" s="152"/>
      <c r="BT60" s="152"/>
      <c r="BU60" s="152"/>
      <c r="BV60" s="152"/>
      <c r="BW60" s="152"/>
      <c r="BX60" s="152"/>
      <c r="BY60" s="152"/>
      <c r="BZ60" s="152"/>
      <c r="CA60" s="152"/>
      <c r="CB60" s="152"/>
      <c r="CC60" s="152"/>
      <c r="CD60" s="152"/>
      <c r="CE60" s="152"/>
    </row>
    <row r="61" spans="1:83">
      <c r="A61" s="157"/>
      <c r="B61" s="157"/>
      <c r="C61" s="154"/>
      <c r="D61" s="157"/>
      <c r="E61" s="154"/>
      <c r="F61" s="154"/>
      <c r="G61" s="154"/>
      <c r="H61" s="176"/>
      <c r="I61" s="176"/>
      <c r="J61" s="154"/>
      <c r="K61" s="154"/>
      <c r="L61" s="176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  <c r="BK61" s="152"/>
      <c r="BL61" s="152"/>
      <c r="BM61" s="152"/>
      <c r="BN61" s="152"/>
      <c r="BO61" s="152"/>
      <c r="BP61" s="152"/>
      <c r="BQ61" s="152"/>
      <c r="BR61" s="152"/>
      <c r="BS61" s="152"/>
      <c r="BT61" s="152"/>
      <c r="BU61" s="152"/>
      <c r="BV61" s="152"/>
      <c r="BW61" s="152"/>
      <c r="BX61" s="152"/>
      <c r="BY61" s="152"/>
      <c r="BZ61" s="152"/>
      <c r="CA61" s="152"/>
      <c r="CB61" s="152"/>
      <c r="CC61" s="152"/>
      <c r="CD61" s="152"/>
      <c r="CE61" s="152"/>
    </row>
    <row r="62" spans="1:83">
      <c r="A62" s="157"/>
      <c r="B62" s="157"/>
      <c r="C62" s="154"/>
      <c r="D62" s="157"/>
      <c r="E62" s="154"/>
      <c r="F62" s="154"/>
      <c r="G62" s="154"/>
      <c r="H62" s="176"/>
      <c r="I62" s="176"/>
      <c r="J62" s="154"/>
      <c r="K62" s="154"/>
      <c r="L62" s="176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  <c r="BK62" s="152"/>
      <c r="BL62" s="152"/>
      <c r="BM62" s="152"/>
      <c r="BN62" s="152"/>
      <c r="BO62" s="152"/>
      <c r="BP62" s="152"/>
      <c r="BQ62" s="152"/>
      <c r="BR62" s="152"/>
      <c r="BS62" s="152"/>
      <c r="BT62" s="152"/>
      <c r="BU62" s="152"/>
      <c r="BV62" s="152"/>
      <c r="BW62" s="152"/>
      <c r="BX62" s="152"/>
      <c r="BY62" s="152"/>
      <c r="BZ62" s="152"/>
      <c r="CA62" s="152"/>
      <c r="CB62" s="152"/>
      <c r="CC62" s="152"/>
      <c r="CD62" s="152"/>
      <c r="CE62" s="152"/>
    </row>
    <row r="63" spans="1:83">
      <c r="A63" s="157"/>
      <c r="B63" s="157"/>
      <c r="C63" s="154"/>
      <c r="D63" s="157"/>
      <c r="E63" s="154"/>
      <c r="F63" s="154"/>
      <c r="G63" s="154"/>
      <c r="H63" s="176"/>
      <c r="I63" s="176"/>
      <c r="J63" s="154"/>
      <c r="K63" s="154"/>
      <c r="L63" s="176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2"/>
      <c r="BL63" s="152"/>
      <c r="BM63" s="152"/>
      <c r="BN63" s="152"/>
      <c r="BO63" s="152"/>
      <c r="BP63" s="152"/>
      <c r="BQ63" s="152"/>
      <c r="BR63" s="152"/>
      <c r="BS63" s="152"/>
      <c r="BT63" s="152"/>
      <c r="BU63" s="152"/>
      <c r="BV63" s="152"/>
      <c r="BW63" s="152"/>
      <c r="BX63" s="152"/>
      <c r="BY63" s="152"/>
      <c r="BZ63" s="152"/>
      <c r="CA63" s="152"/>
      <c r="CB63" s="152"/>
      <c r="CC63" s="152"/>
      <c r="CD63" s="152"/>
      <c r="CE63" s="152"/>
    </row>
    <row r="64" spans="1:83">
      <c r="A64" s="157"/>
      <c r="B64" s="157"/>
      <c r="C64" s="154"/>
      <c r="D64" s="157"/>
      <c r="E64" s="154"/>
      <c r="F64" s="154"/>
      <c r="G64" s="154"/>
      <c r="H64" s="176"/>
      <c r="I64" s="176"/>
      <c r="J64" s="154"/>
      <c r="K64" s="154"/>
      <c r="L64" s="176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  <c r="BK64" s="152"/>
      <c r="BL64" s="152"/>
      <c r="BM64" s="152"/>
      <c r="BN64" s="152"/>
      <c r="BO64" s="152"/>
      <c r="BP64" s="152"/>
      <c r="BQ64" s="152"/>
      <c r="BR64" s="152"/>
      <c r="BS64" s="152"/>
      <c r="BT64" s="152"/>
      <c r="BU64" s="152"/>
      <c r="BV64" s="152"/>
      <c r="BW64" s="152"/>
      <c r="BX64" s="152"/>
      <c r="BY64" s="152"/>
      <c r="BZ64" s="152"/>
      <c r="CA64" s="152"/>
      <c r="CB64" s="152"/>
      <c r="CC64" s="152"/>
      <c r="CD64" s="152"/>
      <c r="CE64" s="152"/>
    </row>
    <row r="65" spans="1:83">
      <c r="A65" s="157"/>
      <c r="B65" s="157"/>
      <c r="C65" s="154"/>
      <c r="D65" s="157"/>
      <c r="E65" s="154"/>
      <c r="F65" s="154"/>
      <c r="G65" s="154"/>
      <c r="H65" s="176"/>
      <c r="I65" s="176"/>
      <c r="J65" s="154"/>
      <c r="K65" s="154"/>
      <c r="L65" s="176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  <c r="BK65" s="152"/>
      <c r="BL65" s="152"/>
      <c r="BM65" s="152"/>
      <c r="BN65" s="152"/>
      <c r="BO65" s="152"/>
      <c r="BP65" s="152"/>
      <c r="BQ65" s="152"/>
      <c r="BR65" s="152"/>
      <c r="BS65" s="152"/>
      <c r="BT65" s="152"/>
      <c r="BU65" s="152"/>
      <c r="BV65" s="152"/>
      <c r="BW65" s="152"/>
      <c r="BX65" s="152"/>
      <c r="BY65" s="152"/>
      <c r="BZ65" s="152"/>
      <c r="CA65" s="152"/>
      <c r="CB65" s="152"/>
      <c r="CC65" s="152"/>
      <c r="CD65" s="152"/>
      <c r="CE65" s="152"/>
    </row>
    <row r="66" spans="1:83">
      <c r="A66" s="157"/>
      <c r="B66" s="157"/>
      <c r="C66" s="154"/>
      <c r="D66" s="157"/>
      <c r="E66" s="154"/>
      <c r="F66" s="154"/>
      <c r="G66" s="154"/>
      <c r="H66" s="176"/>
      <c r="I66" s="176"/>
      <c r="J66" s="154"/>
      <c r="K66" s="154"/>
      <c r="L66" s="176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  <c r="BK66" s="152"/>
      <c r="BL66" s="152"/>
      <c r="BM66" s="152"/>
      <c r="BN66" s="152"/>
      <c r="BO66" s="152"/>
      <c r="BP66" s="152"/>
      <c r="BQ66" s="152"/>
      <c r="BR66" s="152"/>
      <c r="BS66" s="152"/>
      <c r="BT66" s="152"/>
      <c r="BU66" s="152"/>
      <c r="BV66" s="152"/>
      <c r="BW66" s="152"/>
      <c r="BX66" s="152"/>
      <c r="BY66" s="152"/>
      <c r="BZ66" s="152"/>
      <c r="CA66" s="152"/>
      <c r="CB66" s="152"/>
      <c r="CC66" s="152"/>
      <c r="CD66" s="152"/>
      <c r="CE66" s="152"/>
    </row>
    <row r="67" spans="1:83">
      <c r="A67" s="157"/>
      <c r="B67" s="157"/>
      <c r="C67" s="154"/>
      <c r="D67" s="157"/>
      <c r="E67" s="154"/>
      <c r="F67" s="154"/>
      <c r="G67" s="154"/>
      <c r="H67" s="176"/>
      <c r="I67" s="176"/>
      <c r="J67" s="154"/>
      <c r="K67" s="154"/>
      <c r="L67" s="176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2"/>
      <c r="BL67" s="152"/>
      <c r="BM67" s="152"/>
      <c r="BN67" s="152"/>
      <c r="BO67" s="152"/>
      <c r="BP67" s="152"/>
      <c r="BQ67" s="152"/>
      <c r="BR67" s="152"/>
      <c r="BS67" s="152"/>
      <c r="BT67" s="152"/>
      <c r="BU67" s="152"/>
      <c r="BV67" s="152"/>
      <c r="BW67" s="152"/>
      <c r="BX67" s="152"/>
      <c r="BY67" s="152"/>
      <c r="BZ67" s="152"/>
      <c r="CA67" s="152"/>
      <c r="CB67" s="152"/>
      <c r="CC67" s="152"/>
      <c r="CD67" s="152"/>
      <c r="CE67" s="152"/>
    </row>
  </sheetData>
  <autoFilter ref="A8:BV42" xr:uid="{753888AC-0A7C-4E2C-81AE-68A21EAD8F2C}">
    <filterColumn colId="1">
      <filters blank="1"/>
    </filterColumn>
    <sortState xmlns:xlrd2="http://schemas.microsoft.com/office/spreadsheetml/2017/richdata2" ref="A9:BV42">
      <sortCondition ref="A8:A42"/>
    </sortState>
  </autoFilter>
  <conditionalFormatting sqref="B32">
    <cfRule type="expression" dxfId="7" priority="3">
      <formula>MOD(ROW(),2)=0</formula>
    </cfRule>
  </conditionalFormatting>
  <conditionalFormatting sqref="F1:I1">
    <cfRule type="expression" priority="690">
      <formula>IF(#REF!=$E$2,1)</formula>
    </cfRule>
  </conditionalFormatting>
  <conditionalFormatting sqref="L9:L42">
    <cfRule type="cellIs" dxfId="6" priority="21" operator="equal">
      <formula>0</formula>
    </cfRule>
  </conditionalFormatting>
  <conditionalFormatting sqref="M1:BV1">
    <cfRule type="expression" dxfId="5" priority="688">
      <formula>IF(M7=$E$2,1)</formula>
    </cfRule>
  </conditionalFormatting>
  <conditionalFormatting sqref="M4:BV4">
    <cfRule type="iconSet" priority="56">
      <iconSet>
        <cfvo type="percent" val="0"/>
        <cfvo type="num" val="-10"/>
        <cfvo type="num" val="0"/>
      </iconSet>
    </cfRule>
  </conditionalFormatting>
  <printOptions horizontalCentered="1" verticalCentered="1"/>
  <pageMargins left="1.0236220472440944" right="0.23622047244094491" top="0.74803149606299213" bottom="0.74803149606299213" header="0.31496062992125984" footer="0.31496062992125984"/>
  <pageSetup paperSize="8" scale="90" orientation="landscape" r:id="rId1"/>
  <headerFooter alignWithMargins="0"/>
  <ignoredErrors>
    <ignoredError sqref="L10:L22 L23:L42" unlocked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7F9A-AC13-429A-BDB8-4866612E18E1}">
  <sheetPr>
    <tabColor rgb="FFFF0000"/>
  </sheetPr>
  <dimension ref="A1:BN44"/>
  <sheetViews>
    <sheetView zoomScale="90" zoomScaleNormal="90" workbookViewId="0">
      <pane xSplit="2" ySplit="7" topLeftCell="C8" activePane="bottomRight" state="frozen"/>
      <selection pane="topRight" activeCell="AO69" sqref="AO69"/>
      <selection pane="bottomLeft" activeCell="AO69" sqref="AO69"/>
      <selection pane="bottomRight" activeCell="BJ21" sqref="BJ21"/>
    </sheetView>
  </sheetViews>
  <sheetFormatPr baseColWidth="10" defaultColWidth="11.5" defaultRowHeight="13"/>
  <cols>
    <col min="1" max="1" width="9.5" style="1" customWidth="1"/>
    <col min="2" max="2" width="31.6640625" style="2" customWidth="1"/>
    <col min="3" max="76" width="5.6640625" style="2" customWidth="1"/>
    <col min="77" max="16384" width="11.5" style="2"/>
  </cols>
  <sheetData>
    <row r="1" spans="1:66" ht="25.25" customHeight="1">
      <c r="A1" s="189" t="s">
        <v>1418</v>
      </c>
      <c r="B1" s="257"/>
      <c r="C1" s="323">
        <f ca="1">Prosjektliste_Prodplan!E2</f>
        <v>50</v>
      </c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7"/>
      <c r="AP1" s="257"/>
      <c r="AQ1" s="257"/>
      <c r="AR1" s="257"/>
      <c r="AS1" s="257"/>
      <c r="AT1" s="257"/>
      <c r="AU1" s="257"/>
      <c r="AV1" s="257"/>
      <c r="AW1" s="257"/>
      <c r="AX1" s="257"/>
      <c r="AY1" s="257"/>
      <c r="AZ1" s="257"/>
      <c r="BA1" s="257"/>
      <c r="BB1" s="257"/>
      <c r="BC1" s="257"/>
      <c r="BD1" s="257"/>
      <c r="BE1" s="257"/>
      <c r="BF1" s="257"/>
      <c r="BG1" s="257"/>
      <c r="BH1" s="257"/>
      <c r="BI1" s="257"/>
      <c r="BJ1" s="257"/>
      <c r="BK1" s="257"/>
      <c r="BL1" s="257"/>
      <c r="BM1" s="257"/>
      <c r="BN1" s="258"/>
    </row>
    <row r="2" spans="1:66" ht="88.25" customHeight="1" thickBot="1">
      <c r="A2" s="259"/>
      <c r="B2" s="257"/>
      <c r="C2" s="257"/>
      <c r="D2" s="257"/>
      <c r="E2" s="257" t="str">
        <f ca="1">IF($C$1=E6,1,"")</f>
        <v/>
      </c>
      <c r="F2" s="257" t="str">
        <f t="shared" ref="F2:BL2" ca="1" si="0">IF($C$1=F6,1,"")</f>
        <v/>
      </c>
      <c r="G2" s="257" t="str">
        <f t="shared" ca="1" si="0"/>
        <v/>
      </c>
      <c r="H2" s="257" t="str">
        <f t="shared" ca="1" si="0"/>
        <v/>
      </c>
      <c r="I2" s="257" t="str">
        <f t="shared" ca="1" si="0"/>
        <v/>
      </c>
      <c r="J2" s="257" t="str">
        <f t="shared" ca="1" si="0"/>
        <v/>
      </c>
      <c r="K2" s="257" t="str">
        <f t="shared" ca="1" si="0"/>
        <v/>
      </c>
      <c r="L2" s="257" t="str">
        <f t="shared" ca="1" si="0"/>
        <v/>
      </c>
      <c r="M2" s="257" t="str">
        <f t="shared" ca="1" si="0"/>
        <v/>
      </c>
      <c r="N2" s="257" t="str">
        <f t="shared" ca="1" si="0"/>
        <v/>
      </c>
      <c r="O2" s="257" t="str">
        <f t="shared" ca="1" si="0"/>
        <v/>
      </c>
      <c r="P2" s="257" t="str">
        <f t="shared" ca="1" si="0"/>
        <v/>
      </c>
      <c r="Q2" s="257" t="str">
        <f t="shared" ca="1" si="0"/>
        <v/>
      </c>
      <c r="R2" s="257" t="str">
        <f t="shared" ca="1" si="0"/>
        <v/>
      </c>
      <c r="S2" s="257" t="str">
        <f t="shared" ca="1" si="0"/>
        <v/>
      </c>
      <c r="T2" s="257" t="str">
        <f t="shared" ca="1" si="0"/>
        <v/>
      </c>
      <c r="U2" s="257" t="str">
        <f t="shared" ca="1" si="0"/>
        <v/>
      </c>
      <c r="V2" s="257" t="str">
        <f t="shared" ca="1" si="0"/>
        <v/>
      </c>
      <c r="W2" s="257" t="str">
        <f t="shared" ca="1" si="0"/>
        <v/>
      </c>
      <c r="X2" s="257" t="str">
        <f t="shared" ca="1" si="0"/>
        <v/>
      </c>
      <c r="Y2" s="257" t="str">
        <f t="shared" ca="1" si="0"/>
        <v/>
      </c>
      <c r="Z2" s="257" t="str">
        <f t="shared" ca="1" si="0"/>
        <v/>
      </c>
      <c r="AA2" s="257" t="str">
        <f t="shared" ca="1" si="0"/>
        <v/>
      </c>
      <c r="AB2" s="257" t="str">
        <f t="shared" ca="1" si="0"/>
        <v/>
      </c>
      <c r="AC2" s="257" t="str">
        <f t="shared" ca="1" si="0"/>
        <v/>
      </c>
      <c r="AD2" s="257" t="str">
        <f t="shared" ca="1" si="0"/>
        <v/>
      </c>
      <c r="AE2" s="257" t="str">
        <f t="shared" ca="1" si="0"/>
        <v/>
      </c>
      <c r="AF2" s="257" t="str">
        <f t="shared" ca="1" si="0"/>
        <v/>
      </c>
      <c r="AG2" s="257" t="str">
        <f t="shared" ca="1" si="0"/>
        <v/>
      </c>
      <c r="AH2" s="257" t="str">
        <f t="shared" ca="1" si="0"/>
        <v/>
      </c>
      <c r="AI2" s="257" t="str">
        <f t="shared" ca="1" si="0"/>
        <v/>
      </c>
      <c r="AJ2" s="257" t="str">
        <f t="shared" ca="1" si="0"/>
        <v/>
      </c>
      <c r="AK2" s="257" t="str">
        <f t="shared" ca="1" si="0"/>
        <v/>
      </c>
      <c r="AL2" s="257" t="str">
        <f t="shared" ca="1" si="0"/>
        <v/>
      </c>
      <c r="AM2" s="257" t="str">
        <f t="shared" ca="1" si="0"/>
        <v/>
      </c>
      <c r="AN2" s="257" t="str">
        <f t="shared" ca="1" si="0"/>
        <v/>
      </c>
      <c r="AO2" s="257" t="str">
        <f t="shared" ca="1" si="0"/>
        <v/>
      </c>
      <c r="AP2" s="257" t="str">
        <f t="shared" ca="1" si="0"/>
        <v/>
      </c>
      <c r="AQ2" s="257" t="str">
        <f t="shared" ca="1" si="0"/>
        <v/>
      </c>
      <c r="AR2" s="257" t="str">
        <f t="shared" ca="1" si="0"/>
        <v/>
      </c>
      <c r="AS2" s="257" t="str">
        <f t="shared" ca="1" si="0"/>
        <v/>
      </c>
      <c r="AT2" s="257" t="str">
        <f t="shared" ca="1" si="0"/>
        <v/>
      </c>
      <c r="AU2" s="257" t="str">
        <f t="shared" ca="1" si="0"/>
        <v/>
      </c>
      <c r="AV2" s="257" t="str">
        <f t="shared" ca="1" si="0"/>
        <v/>
      </c>
      <c r="AW2" s="257" t="str">
        <f t="shared" ca="1" si="0"/>
        <v/>
      </c>
      <c r="AX2" s="257" t="str">
        <f t="shared" ca="1" si="0"/>
        <v/>
      </c>
      <c r="AY2" s="257" t="str">
        <f t="shared" ca="1" si="0"/>
        <v/>
      </c>
      <c r="AZ2" s="257">
        <f t="shared" ca="1" si="0"/>
        <v>1</v>
      </c>
      <c r="BA2" s="257" t="str">
        <f t="shared" ca="1" si="0"/>
        <v/>
      </c>
      <c r="BB2" s="257" t="str">
        <f t="shared" ca="1" si="0"/>
        <v/>
      </c>
      <c r="BC2" s="257" t="str">
        <f t="shared" ca="1" si="0"/>
        <v/>
      </c>
      <c r="BD2" s="257" t="str">
        <f t="shared" ca="1" si="0"/>
        <v/>
      </c>
      <c r="BE2" s="257" t="str">
        <f t="shared" ca="1" si="0"/>
        <v/>
      </c>
      <c r="BF2" s="257" t="str">
        <f t="shared" ca="1" si="0"/>
        <v/>
      </c>
      <c r="BG2" s="257" t="str">
        <f t="shared" ca="1" si="0"/>
        <v/>
      </c>
      <c r="BH2" s="257" t="str">
        <f t="shared" ca="1" si="0"/>
        <v/>
      </c>
      <c r="BI2" s="257" t="str">
        <f t="shared" ca="1" si="0"/>
        <v/>
      </c>
      <c r="BJ2" s="257" t="str">
        <f t="shared" ca="1" si="0"/>
        <v/>
      </c>
      <c r="BK2" s="257" t="str">
        <f t="shared" ca="1" si="0"/>
        <v/>
      </c>
      <c r="BL2" s="257" t="str">
        <f t="shared" ca="1" si="0"/>
        <v/>
      </c>
      <c r="BM2" s="257"/>
      <c r="BN2" s="257"/>
    </row>
    <row r="3" spans="1:66">
      <c r="A3" s="223">
        <v>0.05</v>
      </c>
      <c r="B3" s="224" t="s">
        <v>1419</v>
      </c>
      <c r="C3" s="243">
        <f>(C4-(C4*$A$3))</f>
        <v>106.875</v>
      </c>
      <c r="D3" s="243">
        <f t="shared" ref="D3:BL3" si="1">(D4-(D4*$A$3))</f>
        <v>106.875</v>
      </c>
      <c r="E3" s="243">
        <f t="shared" si="1"/>
        <v>106.875</v>
      </c>
      <c r="F3" s="243">
        <f t="shared" si="1"/>
        <v>106.875</v>
      </c>
      <c r="G3" s="243">
        <f t="shared" si="1"/>
        <v>106.875</v>
      </c>
      <c r="H3" s="243">
        <f t="shared" si="1"/>
        <v>78.375</v>
      </c>
      <c r="I3" s="243">
        <f t="shared" si="1"/>
        <v>64.125</v>
      </c>
      <c r="J3" s="243">
        <f t="shared" si="1"/>
        <v>99.75</v>
      </c>
      <c r="K3" s="243">
        <f t="shared" si="1"/>
        <v>128.25</v>
      </c>
      <c r="L3" s="243">
        <f t="shared" si="1"/>
        <v>142.5</v>
      </c>
      <c r="M3" s="243">
        <f t="shared" si="1"/>
        <v>142.5</v>
      </c>
      <c r="N3" s="243">
        <f t="shared" si="1"/>
        <v>142.5</v>
      </c>
      <c r="O3" s="243">
        <f t="shared" si="1"/>
        <v>178.125</v>
      </c>
      <c r="P3" s="243">
        <f t="shared" si="1"/>
        <v>35.625</v>
      </c>
      <c r="Q3" s="243">
        <f t="shared" si="1"/>
        <v>185.25</v>
      </c>
      <c r="R3" s="243">
        <f t="shared" si="1"/>
        <v>213.75</v>
      </c>
      <c r="S3" s="243">
        <f t="shared" si="1"/>
        <v>213.75</v>
      </c>
      <c r="T3" s="243">
        <f t="shared" si="1"/>
        <v>213.75</v>
      </c>
      <c r="U3" s="243">
        <f t="shared" si="1"/>
        <v>213.75</v>
      </c>
      <c r="V3" s="243">
        <f t="shared" si="1"/>
        <v>178.125</v>
      </c>
      <c r="W3" s="243">
        <f t="shared" si="1"/>
        <v>106.875</v>
      </c>
      <c r="X3" s="243">
        <f t="shared" si="1"/>
        <v>106.875</v>
      </c>
      <c r="Y3" s="243">
        <f t="shared" si="1"/>
        <v>106.875</v>
      </c>
      <c r="Z3" s="243">
        <f t="shared" si="1"/>
        <v>106.875</v>
      </c>
      <c r="AA3" s="243">
        <f t="shared" si="1"/>
        <v>106.875</v>
      </c>
      <c r="AB3" s="243">
        <f t="shared" si="1"/>
        <v>106.875</v>
      </c>
      <c r="AC3" s="243">
        <f t="shared" si="1"/>
        <v>106.875</v>
      </c>
      <c r="AD3" s="243">
        <f t="shared" si="1"/>
        <v>178.125</v>
      </c>
      <c r="AE3" s="243">
        <f t="shared" si="1"/>
        <v>178.125</v>
      </c>
      <c r="AF3" s="243">
        <f t="shared" si="1"/>
        <v>178.125</v>
      </c>
      <c r="AG3" s="243">
        <f t="shared" si="1"/>
        <v>178.125</v>
      </c>
      <c r="AH3" s="243">
        <f t="shared" si="1"/>
        <v>213.75</v>
      </c>
      <c r="AI3" s="243">
        <f t="shared" si="1"/>
        <v>213.75</v>
      </c>
      <c r="AJ3" s="243">
        <f t="shared" si="1"/>
        <v>249.375</v>
      </c>
      <c r="AK3" s="243">
        <f t="shared" si="1"/>
        <v>249.375</v>
      </c>
      <c r="AL3" s="243">
        <f t="shared" si="1"/>
        <v>249.375</v>
      </c>
      <c r="AM3" s="243">
        <f t="shared" si="1"/>
        <v>249.375</v>
      </c>
      <c r="AN3" s="243">
        <f t="shared" si="1"/>
        <v>249.375</v>
      </c>
      <c r="AO3" s="243">
        <f t="shared" si="1"/>
        <v>249.375</v>
      </c>
      <c r="AP3" s="243">
        <f t="shared" si="1"/>
        <v>463.125</v>
      </c>
      <c r="AQ3" s="243">
        <f t="shared" si="1"/>
        <v>463.125</v>
      </c>
      <c r="AR3" s="243">
        <f t="shared" si="1"/>
        <v>463.125</v>
      </c>
      <c r="AS3" s="243">
        <f t="shared" si="1"/>
        <v>463.125</v>
      </c>
      <c r="AT3" s="243">
        <f t="shared" si="1"/>
        <v>463.125</v>
      </c>
      <c r="AU3" s="243">
        <f t="shared" si="1"/>
        <v>463.125</v>
      </c>
      <c r="AV3" s="243">
        <f t="shared" si="1"/>
        <v>463.125</v>
      </c>
      <c r="AW3" s="243">
        <f t="shared" si="1"/>
        <v>463.125</v>
      </c>
      <c r="AX3" s="243">
        <f t="shared" si="1"/>
        <v>463.125</v>
      </c>
      <c r="AY3" s="243">
        <f t="shared" si="1"/>
        <v>463.125</v>
      </c>
      <c r="AZ3" s="243">
        <f t="shared" si="1"/>
        <v>463.125</v>
      </c>
      <c r="BA3" s="243">
        <f t="shared" si="1"/>
        <v>463.125</v>
      </c>
      <c r="BB3" s="243">
        <f t="shared" si="1"/>
        <v>0</v>
      </c>
      <c r="BC3" s="243">
        <f t="shared" si="1"/>
        <v>463.125</v>
      </c>
      <c r="BD3" s="243">
        <f t="shared" si="1"/>
        <v>463.125</v>
      </c>
      <c r="BE3" s="243">
        <f t="shared" si="1"/>
        <v>463.125</v>
      </c>
      <c r="BF3" s="243">
        <f t="shared" si="1"/>
        <v>463.125</v>
      </c>
      <c r="BG3" s="243">
        <f t="shared" si="1"/>
        <v>463.125</v>
      </c>
      <c r="BH3" s="243">
        <f t="shared" si="1"/>
        <v>463.125</v>
      </c>
      <c r="BI3" s="243">
        <f t="shared" si="1"/>
        <v>463.125</v>
      </c>
      <c r="BJ3" s="243">
        <f t="shared" si="1"/>
        <v>463.125</v>
      </c>
      <c r="BK3" s="243">
        <f t="shared" si="1"/>
        <v>463.125</v>
      </c>
      <c r="BL3" s="244">
        <f t="shared" si="1"/>
        <v>0</v>
      </c>
      <c r="BM3" s="257"/>
      <c r="BN3" s="257"/>
    </row>
    <row r="4" spans="1:66">
      <c r="A4" s="225" t="s">
        <v>1328</v>
      </c>
      <c r="B4" s="221" t="s">
        <v>1420</v>
      </c>
      <c r="C4" s="222">
        <f t="shared" ref="C4:AH4" si="2">C5*$E$30</f>
        <v>112.5</v>
      </c>
      <c r="D4" s="222">
        <f t="shared" si="2"/>
        <v>112.5</v>
      </c>
      <c r="E4" s="222">
        <f t="shared" si="2"/>
        <v>112.5</v>
      </c>
      <c r="F4" s="222">
        <f t="shared" si="2"/>
        <v>112.5</v>
      </c>
      <c r="G4" s="222">
        <f t="shared" si="2"/>
        <v>112.5</v>
      </c>
      <c r="H4" s="222">
        <f t="shared" si="2"/>
        <v>82.5</v>
      </c>
      <c r="I4" s="222">
        <f t="shared" si="2"/>
        <v>67.5</v>
      </c>
      <c r="J4" s="222">
        <f t="shared" si="2"/>
        <v>105</v>
      </c>
      <c r="K4" s="222">
        <f t="shared" si="2"/>
        <v>135</v>
      </c>
      <c r="L4" s="222">
        <f t="shared" si="2"/>
        <v>150</v>
      </c>
      <c r="M4" s="222">
        <f t="shared" si="2"/>
        <v>150</v>
      </c>
      <c r="N4" s="222">
        <f t="shared" si="2"/>
        <v>150</v>
      </c>
      <c r="O4" s="222">
        <f t="shared" si="2"/>
        <v>187.5</v>
      </c>
      <c r="P4" s="222">
        <f t="shared" si="2"/>
        <v>37.5</v>
      </c>
      <c r="Q4" s="222">
        <f t="shared" si="2"/>
        <v>195</v>
      </c>
      <c r="R4" s="222">
        <f t="shared" si="2"/>
        <v>225</v>
      </c>
      <c r="S4" s="222">
        <f t="shared" si="2"/>
        <v>225</v>
      </c>
      <c r="T4" s="222">
        <f t="shared" si="2"/>
        <v>225</v>
      </c>
      <c r="U4" s="222">
        <f t="shared" si="2"/>
        <v>225</v>
      </c>
      <c r="V4" s="222">
        <f t="shared" si="2"/>
        <v>187.5</v>
      </c>
      <c r="W4" s="222">
        <f t="shared" si="2"/>
        <v>112.5</v>
      </c>
      <c r="X4" s="222">
        <f t="shared" si="2"/>
        <v>112.5</v>
      </c>
      <c r="Y4" s="222">
        <f t="shared" si="2"/>
        <v>112.5</v>
      </c>
      <c r="Z4" s="222">
        <f t="shared" si="2"/>
        <v>112.5</v>
      </c>
      <c r="AA4" s="222">
        <f t="shared" si="2"/>
        <v>112.5</v>
      </c>
      <c r="AB4" s="222">
        <f t="shared" si="2"/>
        <v>112.5</v>
      </c>
      <c r="AC4" s="222">
        <f t="shared" si="2"/>
        <v>112.5</v>
      </c>
      <c r="AD4" s="222">
        <f t="shared" si="2"/>
        <v>187.5</v>
      </c>
      <c r="AE4" s="222">
        <f t="shared" si="2"/>
        <v>187.5</v>
      </c>
      <c r="AF4" s="222">
        <f t="shared" si="2"/>
        <v>187.5</v>
      </c>
      <c r="AG4" s="222">
        <f t="shared" si="2"/>
        <v>187.5</v>
      </c>
      <c r="AH4" s="222">
        <f t="shared" si="2"/>
        <v>225</v>
      </c>
      <c r="AI4" s="222">
        <f t="shared" ref="AI4:BL4" si="3">AI5*$E$30</f>
        <v>225</v>
      </c>
      <c r="AJ4" s="222">
        <f t="shared" si="3"/>
        <v>262.5</v>
      </c>
      <c r="AK4" s="222">
        <f t="shared" si="3"/>
        <v>262.5</v>
      </c>
      <c r="AL4" s="222">
        <f t="shared" si="3"/>
        <v>262.5</v>
      </c>
      <c r="AM4" s="222">
        <f t="shared" si="3"/>
        <v>262.5</v>
      </c>
      <c r="AN4" s="222">
        <f t="shared" si="3"/>
        <v>262.5</v>
      </c>
      <c r="AO4" s="222">
        <f t="shared" si="3"/>
        <v>262.5</v>
      </c>
      <c r="AP4" s="222">
        <f t="shared" si="3"/>
        <v>487.5</v>
      </c>
      <c r="AQ4" s="222">
        <f t="shared" si="3"/>
        <v>487.5</v>
      </c>
      <c r="AR4" s="222">
        <f t="shared" si="3"/>
        <v>487.5</v>
      </c>
      <c r="AS4" s="222">
        <f t="shared" si="3"/>
        <v>487.5</v>
      </c>
      <c r="AT4" s="222">
        <f t="shared" si="3"/>
        <v>487.5</v>
      </c>
      <c r="AU4" s="222">
        <f t="shared" si="3"/>
        <v>487.5</v>
      </c>
      <c r="AV4" s="222">
        <f t="shared" si="3"/>
        <v>487.5</v>
      </c>
      <c r="AW4" s="222">
        <f t="shared" si="3"/>
        <v>487.5</v>
      </c>
      <c r="AX4" s="222">
        <f t="shared" si="3"/>
        <v>487.5</v>
      </c>
      <c r="AY4" s="222">
        <f t="shared" si="3"/>
        <v>487.5</v>
      </c>
      <c r="AZ4" s="222">
        <f t="shared" si="3"/>
        <v>487.5</v>
      </c>
      <c r="BA4" s="222">
        <f t="shared" si="3"/>
        <v>487.5</v>
      </c>
      <c r="BB4" s="222">
        <f t="shared" si="3"/>
        <v>0</v>
      </c>
      <c r="BC4" s="222">
        <f t="shared" si="3"/>
        <v>487.5</v>
      </c>
      <c r="BD4" s="222">
        <f t="shared" si="3"/>
        <v>487.5</v>
      </c>
      <c r="BE4" s="222">
        <f t="shared" si="3"/>
        <v>487.5</v>
      </c>
      <c r="BF4" s="222">
        <f t="shared" si="3"/>
        <v>487.5</v>
      </c>
      <c r="BG4" s="222">
        <f t="shared" si="3"/>
        <v>487.5</v>
      </c>
      <c r="BH4" s="222">
        <f t="shared" si="3"/>
        <v>487.5</v>
      </c>
      <c r="BI4" s="222">
        <f t="shared" si="3"/>
        <v>487.5</v>
      </c>
      <c r="BJ4" s="222">
        <f t="shared" si="3"/>
        <v>487.5</v>
      </c>
      <c r="BK4" s="222">
        <f t="shared" si="3"/>
        <v>487.5</v>
      </c>
      <c r="BL4" s="226">
        <f t="shared" si="3"/>
        <v>0</v>
      </c>
      <c r="BM4" s="257"/>
      <c r="BN4" s="257"/>
    </row>
    <row r="5" spans="1:66" ht="14" thickBot="1">
      <c r="A5" s="4" t="s">
        <v>1328</v>
      </c>
      <c r="B5" s="227" t="s">
        <v>1421</v>
      </c>
      <c r="C5" s="228">
        <f>SUM(C8:C23)+C28</f>
        <v>3</v>
      </c>
      <c r="D5" s="228">
        <f t="shared" ref="D5:BL5" si="4">SUM(D8:D23)+D28</f>
        <v>3</v>
      </c>
      <c r="E5" s="228">
        <f t="shared" si="4"/>
        <v>3</v>
      </c>
      <c r="F5" s="228">
        <f t="shared" si="4"/>
        <v>3</v>
      </c>
      <c r="G5" s="228">
        <f t="shared" si="4"/>
        <v>3</v>
      </c>
      <c r="H5" s="228">
        <f t="shared" si="4"/>
        <v>2.2000000000000002</v>
      </c>
      <c r="I5" s="228">
        <f t="shared" si="4"/>
        <v>1.7999999999999998</v>
      </c>
      <c r="J5" s="228">
        <f t="shared" si="4"/>
        <v>2.8</v>
      </c>
      <c r="K5" s="228">
        <f t="shared" si="4"/>
        <v>3.6</v>
      </c>
      <c r="L5" s="228">
        <f t="shared" si="4"/>
        <v>4</v>
      </c>
      <c r="M5" s="228">
        <f t="shared" si="4"/>
        <v>4</v>
      </c>
      <c r="N5" s="228">
        <f t="shared" si="4"/>
        <v>4</v>
      </c>
      <c r="O5" s="228">
        <f t="shared" si="4"/>
        <v>5</v>
      </c>
      <c r="P5" s="228">
        <f t="shared" si="4"/>
        <v>1</v>
      </c>
      <c r="Q5" s="228">
        <f t="shared" si="4"/>
        <v>5.2</v>
      </c>
      <c r="R5" s="228">
        <f t="shared" si="4"/>
        <v>6</v>
      </c>
      <c r="S5" s="228">
        <f t="shared" si="4"/>
        <v>6</v>
      </c>
      <c r="T5" s="228">
        <f t="shared" si="4"/>
        <v>6</v>
      </c>
      <c r="U5" s="228">
        <f t="shared" si="4"/>
        <v>6</v>
      </c>
      <c r="V5" s="228">
        <f t="shared" si="4"/>
        <v>5</v>
      </c>
      <c r="W5" s="228">
        <f t="shared" si="4"/>
        <v>3</v>
      </c>
      <c r="X5" s="228">
        <f t="shared" si="4"/>
        <v>3</v>
      </c>
      <c r="Y5" s="228">
        <f t="shared" si="4"/>
        <v>3</v>
      </c>
      <c r="Z5" s="228">
        <f t="shared" si="4"/>
        <v>3</v>
      </c>
      <c r="AA5" s="228">
        <f t="shared" si="4"/>
        <v>3</v>
      </c>
      <c r="AB5" s="228">
        <f t="shared" si="4"/>
        <v>3</v>
      </c>
      <c r="AC5" s="228">
        <f t="shared" si="4"/>
        <v>3</v>
      </c>
      <c r="AD5" s="228">
        <f t="shared" si="4"/>
        <v>5</v>
      </c>
      <c r="AE5" s="228">
        <f t="shared" si="4"/>
        <v>5</v>
      </c>
      <c r="AF5" s="228">
        <f t="shared" si="4"/>
        <v>5</v>
      </c>
      <c r="AG5" s="228">
        <f t="shared" si="4"/>
        <v>5</v>
      </c>
      <c r="AH5" s="228">
        <f t="shared" si="4"/>
        <v>6</v>
      </c>
      <c r="AI5" s="228">
        <f t="shared" si="4"/>
        <v>6</v>
      </c>
      <c r="AJ5" s="228">
        <f t="shared" si="4"/>
        <v>7</v>
      </c>
      <c r="AK5" s="228">
        <f t="shared" si="4"/>
        <v>7</v>
      </c>
      <c r="AL5" s="228">
        <f t="shared" si="4"/>
        <v>7</v>
      </c>
      <c r="AM5" s="228">
        <f t="shared" si="4"/>
        <v>7</v>
      </c>
      <c r="AN5" s="228">
        <f t="shared" si="4"/>
        <v>7</v>
      </c>
      <c r="AO5" s="228">
        <f t="shared" si="4"/>
        <v>7</v>
      </c>
      <c r="AP5" s="228">
        <f t="shared" si="4"/>
        <v>13</v>
      </c>
      <c r="AQ5" s="228">
        <f t="shared" si="4"/>
        <v>13</v>
      </c>
      <c r="AR5" s="228">
        <f t="shared" si="4"/>
        <v>13</v>
      </c>
      <c r="AS5" s="228">
        <f t="shared" si="4"/>
        <v>13</v>
      </c>
      <c r="AT5" s="228">
        <f t="shared" si="4"/>
        <v>13</v>
      </c>
      <c r="AU5" s="228">
        <f t="shared" si="4"/>
        <v>13</v>
      </c>
      <c r="AV5" s="228">
        <f t="shared" si="4"/>
        <v>13</v>
      </c>
      <c r="AW5" s="228">
        <f t="shared" si="4"/>
        <v>13</v>
      </c>
      <c r="AX5" s="228">
        <f t="shared" si="4"/>
        <v>13</v>
      </c>
      <c r="AY5" s="228">
        <f t="shared" si="4"/>
        <v>13</v>
      </c>
      <c r="AZ5" s="228">
        <f t="shared" si="4"/>
        <v>13</v>
      </c>
      <c r="BA5" s="228">
        <f t="shared" si="4"/>
        <v>13</v>
      </c>
      <c r="BB5" s="228">
        <f t="shared" si="4"/>
        <v>0</v>
      </c>
      <c r="BC5" s="228">
        <f t="shared" si="4"/>
        <v>13</v>
      </c>
      <c r="BD5" s="228">
        <f t="shared" si="4"/>
        <v>13</v>
      </c>
      <c r="BE5" s="228">
        <f t="shared" si="4"/>
        <v>13</v>
      </c>
      <c r="BF5" s="228">
        <f t="shared" si="4"/>
        <v>13</v>
      </c>
      <c r="BG5" s="228">
        <f t="shared" si="4"/>
        <v>13</v>
      </c>
      <c r="BH5" s="228">
        <f t="shared" si="4"/>
        <v>13</v>
      </c>
      <c r="BI5" s="228">
        <f t="shared" si="4"/>
        <v>13</v>
      </c>
      <c r="BJ5" s="228">
        <f t="shared" si="4"/>
        <v>13</v>
      </c>
      <c r="BK5" s="228">
        <f t="shared" si="4"/>
        <v>13</v>
      </c>
      <c r="BL5" s="229">
        <f t="shared" si="4"/>
        <v>0</v>
      </c>
      <c r="BM5" s="257"/>
      <c r="BN5" s="257"/>
    </row>
    <row r="6" spans="1:66" s="5" customFormat="1" ht="22.5" customHeight="1">
      <c r="A6" s="216" t="s">
        <v>1422</v>
      </c>
      <c r="B6" s="217" t="s">
        <v>1423</v>
      </c>
      <c r="C6" s="218">
        <v>1</v>
      </c>
      <c r="D6" s="218">
        <v>2</v>
      </c>
      <c r="E6" s="218">
        <v>3</v>
      </c>
      <c r="F6" s="218">
        <v>4</v>
      </c>
      <c r="G6" s="218">
        <v>5</v>
      </c>
      <c r="H6" s="218">
        <v>6</v>
      </c>
      <c r="I6" s="218">
        <v>7</v>
      </c>
      <c r="J6" s="218">
        <v>8</v>
      </c>
      <c r="K6" s="218">
        <v>9</v>
      </c>
      <c r="L6" s="218">
        <v>10</v>
      </c>
      <c r="M6" s="218">
        <v>11</v>
      </c>
      <c r="N6" s="218">
        <v>12</v>
      </c>
      <c r="O6" s="218">
        <v>13</v>
      </c>
      <c r="P6" s="218">
        <v>14</v>
      </c>
      <c r="Q6" s="218">
        <v>15</v>
      </c>
      <c r="R6" s="218">
        <v>16</v>
      </c>
      <c r="S6" s="218">
        <v>17</v>
      </c>
      <c r="T6" s="218">
        <v>18</v>
      </c>
      <c r="U6" s="218">
        <v>19</v>
      </c>
      <c r="V6" s="218">
        <v>20</v>
      </c>
      <c r="W6" s="218">
        <v>21</v>
      </c>
      <c r="X6" s="218">
        <v>22</v>
      </c>
      <c r="Y6" s="218">
        <v>23</v>
      </c>
      <c r="Z6" s="218">
        <v>24</v>
      </c>
      <c r="AA6" s="218">
        <v>25</v>
      </c>
      <c r="AB6" s="218">
        <v>26</v>
      </c>
      <c r="AC6" s="218">
        <v>27</v>
      </c>
      <c r="AD6" s="219">
        <v>28</v>
      </c>
      <c r="AE6" s="219">
        <v>29</v>
      </c>
      <c r="AF6" s="219">
        <v>30</v>
      </c>
      <c r="AG6" s="218">
        <v>31</v>
      </c>
      <c r="AH6" s="218">
        <v>32</v>
      </c>
      <c r="AI6" s="218">
        <v>33</v>
      </c>
      <c r="AJ6" s="218">
        <v>34</v>
      </c>
      <c r="AK6" s="218">
        <v>35</v>
      </c>
      <c r="AL6" s="218">
        <v>36</v>
      </c>
      <c r="AM6" s="218">
        <v>37</v>
      </c>
      <c r="AN6" s="218">
        <v>38</v>
      </c>
      <c r="AO6" s="218">
        <v>39</v>
      </c>
      <c r="AP6" s="218">
        <v>40</v>
      </c>
      <c r="AQ6" s="218">
        <v>41</v>
      </c>
      <c r="AR6" s="218">
        <v>42</v>
      </c>
      <c r="AS6" s="218">
        <v>43</v>
      </c>
      <c r="AT6" s="218">
        <v>44</v>
      </c>
      <c r="AU6" s="218">
        <v>45</v>
      </c>
      <c r="AV6" s="218">
        <v>46</v>
      </c>
      <c r="AW6" s="218">
        <v>47</v>
      </c>
      <c r="AX6" s="218">
        <v>48</v>
      </c>
      <c r="AY6" s="218">
        <v>49</v>
      </c>
      <c r="AZ6" s="218">
        <v>50</v>
      </c>
      <c r="BA6" s="218">
        <v>51</v>
      </c>
      <c r="BB6" s="220">
        <v>52</v>
      </c>
      <c r="BC6" s="327" t="s">
        <v>1424</v>
      </c>
      <c r="BD6" s="327" t="s">
        <v>1425</v>
      </c>
      <c r="BE6" s="327" t="s">
        <v>1426</v>
      </c>
      <c r="BF6" s="327" t="s">
        <v>1427</v>
      </c>
      <c r="BG6" s="327" t="s">
        <v>1428</v>
      </c>
      <c r="BH6" s="327" t="s">
        <v>1429</v>
      </c>
      <c r="BI6" s="327" t="s">
        <v>1430</v>
      </c>
      <c r="BJ6" s="327" t="s">
        <v>1431</v>
      </c>
      <c r="BK6" s="327" t="s">
        <v>1432</v>
      </c>
      <c r="BL6" s="327" t="s">
        <v>1433</v>
      </c>
      <c r="BM6" s="208"/>
      <c r="BN6" s="208"/>
    </row>
    <row r="7" spans="1:66" s="5" customFormat="1" ht="15" customHeight="1" thickBot="1">
      <c r="A7" s="31"/>
      <c r="B7" s="215" t="s">
        <v>1434</v>
      </c>
      <c r="C7" s="32">
        <v>5</v>
      </c>
      <c r="D7" s="32">
        <v>5</v>
      </c>
      <c r="E7" s="32">
        <v>5</v>
      </c>
      <c r="F7" s="32">
        <v>5</v>
      </c>
      <c r="G7" s="32">
        <v>5</v>
      </c>
      <c r="H7" s="32">
        <v>5</v>
      </c>
      <c r="I7" s="32">
        <v>5</v>
      </c>
      <c r="J7" s="32">
        <v>5</v>
      </c>
      <c r="K7" s="32">
        <v>5</v>
      </c>
      <c r="L7" s="32">
        <v>5</v>
      </c>
      <c r="M7" s="32">
        <v>5</v>
      </c>
      <c r="N7" s="32">
        <v>5</v>
      </c>
      <c r="O7" s="32">
        <v>5</v>
      </c>
      <c r="P7" s="32">
        <v>3</v>
      </c>
      <c r="Q7" s="32">
        <v>4</v>
      </c>
      <c r="R7" s="32">
        <v>5</v>
      </c>
      <c r="S7" s="32">
        <v>5</v>
      </c>
      <c r="T7" s="32">
        <v>4</v>
      </c>
      <c r="U7" s="32">
        <v>4</v>
      </c>
      <c r="V7" s="32">
        <v>2</v>
      </c>
      <c r="W7" s="32">
        <v>5</v>
      </c>
      <c r="X7" s="32">
        <v>4</v>
      </c>
      <c r="Y7" s="32">
        <v>5</v>
      </c>
      <c r="Z7" s="32">
        <v>5</v>
      </c>
      <c r="AA7" s="32">
        <v>5</v>
      </c>
      <c r="AB7" s="32">
        <v>5</v>
      </c>
      <c r="AC7" s="32">
        <v>5</v>
      </c>
      <c r="AD7" s="32">
        <v>0</v>
      </c>
      <c r="AE7" s="32">
        <v>0</v>
      </c>
      <c r="AF7" s="32">
        <v>0</v>
      </c>
      <c r="AG7" s="32">
        <v>5</v>
      </c>
      <c r="AH7" s="32">
        <v>5</v>
      </c>
      <c r="AI7" s="32">
        <v>5</v>
      </c>
      <c r="AJ7" s="32">
        <v>5</v>
      </c>
      <c r="AK7" s="32">
        <v>5</v>
      </c>
      <c r="AL7" s="32">
        <v>5</v>
      </c>
      <c r="AM7" s="32">
        <v>5</v>
      </c>
      <c r="AN7" s="32">
        <v>5</v>
      </c>
      <c r="AO7" s="32">
        <v>5</v>
      </c>
      <c r="AP7" s="32">
        <v>5</v>
      </c>
      <c r="AQ7" s="32">
        <v>5</v>
      </c>
      <c r="AR7" s="32">
        <v>5</v>
      </c>
      <c r="AS7" s="32">
        <v>5</v>
      </c>
      <c r="AT7" s="32">
        <v>5</v>
      </c>
      <c r="AU7" s="32">
        <v>5</v>
      </c>
      <c r="AV7" s="32">
        <v>5</v>
      </c>
      <c r="AW7" s="32">
        <v>5</v>
      </c>
      <c r="AX7" s="32">
        <v>5</v>
      </c>
      <c r="AY7" s="32">
        <v>5</v>
      </c>
      <c r="AZ7" s="32">
        <v>5</v>
      </c>
      <c r="BA7" s="32">
        <v>5</v>
      </c>
      <c r="BB7" s="57">
        <v>0</v>
      </c>
      <c r="BC7" s="59">
        <v>5</v>
      </c>
      <c r="BD7" s="32">
        <v>5</v>
      </c>
      <c r="BE7" s="32">
        <v>5</v>
      </c>
      <c r="BF7" s="32">
        <v>5</v>
      </c>
      <c r="BG7" s="32">
        <v>5</v>
      </c>
      <c r="BH7" s="32">
        <v>5</v>
      </c>
      <c r="BI7" s="32">
        <v>5</v>
      </c>
      <c r="BJ7" s="32">
        <v>5</v>
      </c>
      <c r="BK7" s="32">
        <v>5</v>
      </c>
      <c r="BL7" s="33">
        <v>5</v>
      </c>
      <c r="BM7" s="208"/>
      <c r="BN7" s="208"/>
    </row>
    <row r="8" spans="1:66" ht="15" customHeight="1">
      <c r="A8" s="214">
        <v>2</v>
      </c>
      <c r="B8" s="6" t="s">
        <v>1435</v>
      </c>
      <c r="C8" s="63">
        <v>1</v>
      </c>
      <c r="D8" s="63">
        <v>1</v>
      </c>
      <c r="E8" s="63">
        <v>1</v>
      </c>
      <c r="F8" s="63">
        <v>1</v>
      </c>
      <c r="G8" s="63">
        <v>1</v>
      </c>
      <c r="H8" s="63">
        <v>1</v>
      </c>
      <c r="I8" s="63">
        <v>0.2</v>
      </c>
      <c r="J8" s="63">
        <v>0.8</v>
      </c>
      <c r="K8" s="63">
        <v>1</v>
      </c>
      <c r="L8" s="63">
        <v>1</v>
      </c>
      <c r="M8" s="63">
        <v>1</v>
      </c>
      <c r="N8" s="63">
        <v>1</v>
      </c>
      <c r="O8" s="63">
        <v>1</v>
      </c>
      <c r="P8" s="305">
        <v>0.2</v>
      </c>
      <c r="Q8" s="63">
        <v>0.8</v>
      </c>
      <c r="R8" s="63">
        <v>1</v>
      </c>
      <c r="S8" s="63">
        <v>1</v>
      </c>
      <c r="T8" s="63">
        <v>1</v>
      </c>
      <c r="U8" s="63">
        <v>1</v>
      </c>
      <c r="V8" s="305">
        <v>1</v>
      </c>
      <c r="W8" s="63">
        <v>1</v>
      </c>
      <c r="X8" s="63">
        <v>1</v>
      </c>
      <c r="Y8" s="63">
        <v>1</v>
      </c>
      <c r="Z8" s="63">
        <v>1</v>
      </c>
      <c r="AA8" s="63">
        <v>1</v>
      </c>
      <c r="AB8" s="63">
        <v>1</v>
      </c>
      <c r="AC8" s="63">
        <v>1</v>
      </c>
      <c r="AD8" s="304">
        <v>1</v>
      </c>
      <c r="AE8" s="304">
        <v>1</v>
      </c>
      <c r="AF8" s="304">
        <v>1</v>
      </c>
      <c r="AG8" s="63">
        <v>1</v>
      </c>
      <c r="AH8" s="63">
        <v>1</v>
      </c>
      <c r="AI8" s="63">
        <v>1</v>
      </c>
      <c r="AJ8" s="63">
        <v>1</v>
      </c>
      <c r="AK8" s="63">
        <v>1</v>
      </c>
      <c r="AL8" s="63">
        <v>1</v>
      </c>
      <c r="AM8" s="63">
        <v>1</v>
      </c>
      <c r="AN8" s="63">
        <v>1</v>
      </c>
      <c r="AO8" s="63">
        <v>1</v>
      </c>
      <c r="AP8" s="63">
        <v>1</v>
      </c>
      <c r="AQ8" s="63">
        <v>1</v>
      </c>
      <c r="AR8" s="63">
        <v>1</v>
      </c>
      <c r="AS8" s="63">
        <v>1</v>
      </c>
      <c r="AT8" s="63">
        <v>1</v>
      </c>
      <c r="AU8" s="63">
        <v>1</v>
      </c>
      <c r="AV8" s="63">
        <v>1</v>
      </c>
      <c r="AW8" s="63">
        <v>1</v>
      </c>
      <c r="AX8" s="63">
        <v>1</v>
      </c>
      <c r="AY8" s="63">
        <v>1</v>
      </c>
      <c r="AZ8" s="63">
        <v>1</v>
      </c>
      <c r="BA8" s="63">
        <v>1</v>
      </c>
      <c r="BB8" s="261"/>
      <c r="BC8" s="63">
        <v>1</v>
      </c>
      <c r="BD8" s="63">
        <v>1</v>
      </c>
      <c r="BE8" s="63">
        <v>1</v>
      </c>
      <c r="BF8" s="63">
        <v>1</v>
      </c>
      <c r="BG8" s="63">
        <v>1</v>
      </c>
      <c r="BH8" s="63">
        <v>1</v>
      </c>
      <c r="BI8" s="63">
        <v>1</v>
      </c>
      <c r="BJ8" s="63">
        <v>1</v>
      </c>
      <c r="BK8" s="63">
        <v>1</v>
      </c>
      <c r="BL8" s="262"/>
      <c r="BM8" s="257"/>
      <c r="BN8" s="257"/>
    </row>
    <row r="9" spans="1:66" ht="15" customHeight="1">
      <c r="A9" s="263">
        <v>3</v>
      </c>
      <c r="B9" s="7" t="s">
        <v>1436</v>
      </c>
      <c r="C9" s="63">
        <v>1</v>
      </c>
      <c r="D9" s="63">
        <v>1</v>
      </c>
      <c r="E9" s="63">
        <v>1</v>
      </c>
      <c r="F9" s="63">
        <v>1</v>
      </c>
      <c r="G9" s="63">
        <v>1</v>
      </c>
      <c r="H9" s="63">
        <v>0.2</v>
      </c>
      <c r="I9" s="63">
        <v>1</v>
      </c>
      <c r="J9" s="63">
        <v>1</v>
      </c>
      <c r="K9" s="63">
        <v>1</v>
      </c>
      <c r="L9" s="63">
        <v>1</v>
      </c>
      <c r="M9" s="63">
        <v>1</v>
      </c>
      <c r="N9" s="63">
        <v>1</v>
      </c>
      <c r="O9" s="63">
        <v>1</v>
      </c>
      <c r="P9" s="305">
        <v>0.2</v>
      </c>
      <c r="Q9" s="63">
        <v>0.8</v>
      </c>
      <c r="R9" s="63">
        <v>1</v>
      </c>
      <c r="S9" s="63">
        <v>1</v>
      </c>
      <c r="T9" s="63">
        <v>1</v>
      </c>
      <c r="U9" s="63">
        <v>1</v>
      </c>
      <c r="V9" s="305">
        <v>1</v>
      </c>
      <c r="W9" s="63">
        <v>1</v>
      </c>
      <c r="X9" s="63">
        <v>1</v>
      </c>
      <c r="Y9" s="63">
        <v>1</v>
      </c>
      <c r="Z9" s="63">
        <v>1</v>
      </c>
      <c r="AA9" s="63">
        <v>1</v>
      </c>
      <c r="AB9" s="63">
        <v>1</v>
      </c>
      <c r="AC9" s="63">
        <v>1</v>
      </c>
      <c r="AD9" s="304">
        <v>1</v>
      </c>
      <c r="AE9" s="304">
        <v>1</v>
      </c>
      <c r="AF9" s="304">
        <v>1</v>
      </c>
      <c r="AG9" s="63">
        <v>1</v>
      </c>
      <c r="AH9" s="63">
        <v>1</v>
      </c>
      <c r="AI9" s="63">
        <v>1</v>
      </c>
      <c r="AJ9" s="63">
        <v>1</v>
      </c>
      <c r="AK9" s="63">
        <v>1</v>
      </c>
      <c r="AL9" s="63">
        <v>1</v>
      </c>
      <c r="AM9" s="63">
        <v>1</v>
      </c>
      <c r="AN9" s="63">
        <v>1</v>
      </c>
      <c r="AO9" s="63">
        <v>1</v>
      </c>
      <c r="AP9" s="63">
        <v>1</v>
      </c>
      <c r="AQ9" s="63">
        <v>1</v>
      </c>
      <c r="AR9" s="63">
        <v>1</v>
      </c>
      <c r="AS9" s="63">
        <v>1</v>
      </c>
      <c r="AT9" s="63">
        <v>1</v>
      </c>
      <c r="AU9" s="63">
        <v>1</v>
      </c>
      <c r="AV9" s="63">
        <v>1</v>
      </c>
      <c r="AW9" s="63">
        <v>1</v>
      </c>
      <c r="AX9" s="63">
        <v>1</v>
      </c>
      <c r="AY9" s="63">
        <v>1</v>
      </c>
      <c r="AZ9" s="63">
        <v>1</v>
      </c>
      <c r="BA9" s="63">
        <v>1</v>
      </c>
      <c r="BB9" s="261"/>
      <c r="BC9" s="63">
        <v>1</v>
      </c>
      <c r="BD9" s="63">
        <v>1</v>
      </c>
      <c r="BE9" s="63">
        <v>1</v>
      </c>
      <c r="BF9" s="63">
        <v>1</v>
      </c>
      <c r="BG9" s="63">
        <v>1</v>
      </c>
      <c r="BH9" s="63">
        <v>1</v>
      </c>
      <c r="BI9" s="63">
        <v>1</v>
      </c>
      <c r="BJ9" s="63">
        <v>1</v>
      </c>
      <c r="BK9" s="63">
        <v>1</v>
      </c>
      <c r="BL9" s="265"/>
      <c r="BM9" s="257"/>
      <c r="BN9" s="257"/>
    </row>
    <row r="10" spans="1:66" ht="15" customHeight="1">
      <c r="A10" s="263">
        <v>4</v>
      </c>
      <c r="B10" s="355" t="s">
        <v>1437</v>
      </c>
      <c r="C10" s="260">
        <v>1</v>
      </c>
      <c r="D10" s="63">
        <v>1</v>
      </c>
      <c r="E10" s="63">
        <v>1</v>
      </c>
      <c r="F10" s="63">
        <v>1</v>
      </c>
      <c r="G10" s="63">
        <v>1</v>
      </c>
      <c r="H10" s="63">
        <v>1</v>
      </c>
      <c r="I10" s="63">
        <v>0.6</v>
      </c>
      <c r="J10" s="63">
        <v>1</v>
      </c>
      <c r="K10" s="63">
        <v>1</v>
      </c>
      <c r="L10" s="63">
        <v>1</v>
      </c>
      <c r="M10" s="63">
        <v>1</v>
      </c>
      <c r="N10" s="63">
        <v>1</v>
      </c>
      <c r="O10" s="63">
        <v>1</v>
      </c>
      <c r="P10" s="305">
        <v>0</v>
      </c>
      <c r="Q10" s="63">
        <v>0.8</v>
      </c>
      <c r="R10" s="63">
        <v>1</v>
      </c>
      <c r="S10" s="63">
        <v>1</v>
      </c>
      <c r="T10" s="63">
        <v>1</v>
      </c>
      <c r="U10" s="63">
        <v>1</v>
      </c>
      <c r="V10" s="305"/>
      <c r="W10" s="63"/>
      <c r="X10" s="63"/>
      <c r="Y10" s="63"/>
      <c r="Z10" s="63"/>
      <c r="AA10" s="63"/>
      <c r="AB10" s="63"/>
      <c r="AC10" s="63"/>
      <c r="AD10" s="304"/>
      <c r="AE10" s="304"/>
      <c r="AF10" s="304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261"/>
      <c r="BC10" s="63"/>
      <c r="BD10" s="63"/>
      <c r="BE10" s="63"/>
      <c r="BF10" s="63"/>
      <c r="BG10" s="63"/>
      <c r="BH10" s="63"/>
      <c r="BI10" s="63"/>
      <c r="BJ10" s="63"/>
      <c r="BK10" s="63"/>
      <c r="BL10" s="265"/>
      <c r="BM10" s="257"/>
      <c r="BN10" s="257"/>
    </row>
    <row r="11" spans="1:66" ht="15" customHeight="1">
      <c r="A11" s="263">
        <v>5</v>
      </c>
      <c r="B11" s="300" t="s">
        <v>1438</v>
      </c>
      <c r="C11" s="260"/>
      <c r="D11" s="63"/>
      <c r="E11" s="63"/>
      <c r="F11" s="63"/>
      <c r="G11" s="63"/>
      <c r="H11" s="63"/>
      <c r="I11" s="63"/>
      <c r="J11" s="63"/>
      <c r="K11" s="63">
        <v>0.6</v>
      </c>
      <c r="L11" s="63">
        <v>1</v>
      </c>
      <c r="M11" s="63">
        <v>1</v>
      </c>
      <c r="N11" s="63">
        <v>1</v>
      </c>
      <c r="O11" s="63">
        <v>1</v>
      </c>
      <c r="P11" s="305">
        <v>0.2</v>
      </c>
      <c r="Q11" s="63">
        <v>0.8</v>
      </c>
      <c r="R11" s="63">
        <v>1</v>
      </c>
      <c r="S11" s="63">
        <v>1</v>
      </c>
      <c r="T11" s="63">
        <v>1</v>
      </c>
      <c r="U11" s="63">
        <v>1</v>
      </c>
      <c r="V11" s="305">
        <v>1</v>
      </c>
      <c r="W11" s="63">
        <v>1</v>
      </c>
      <c r="X11" s="63">
        <v>1</v>
      </c>
      <c r="Y11" s="63">
        <v>1</v>
      </c>
      <c r="Z11" s="63">
        <v>1</v>
      </c>
      <c r="AA11" s="63">
        <v>1</v>
      </c>
      <c r="AB11" s="63">
        <v>1</v>
      </c>
      <c r="AC11" s="63">
        <v>1</v>
      </c>
      <c r="AD11" s="304">
        <v>1</v>
      </c>
      <c r="AE11" s="304">
        <v>1</v>
      </c>
      <c r="AF11" s="304">
        <v>1</v>
      </c>
      <c r="AG11" s="63">
        <v>1</v>
      </c>
      <c r="AH11" s="63">
        <v>1</v>
      </c>
      <c r="AI11" s="63">
        <v>1</v>
      </c>
      <c r="AJ11" s="63">
        <v>1</v>
      </c>
      <c r="AK11" s="63">
        <v>1</v>
      </c>
      <c r="AL11" s="63">
        <v>1</v>
      </c>
      <c r="AM11" s="63">
        <v>1</v>
      </c>
      <c r="AN11" s="63">
        <v>1</v>
      </c>
      <c r="AO11" s="63">
        <v>1</v>
      </c>
      <c r="AP11" s="63">
        <v>1</v>
      </c>
      <c r="AQ11" s="63">
        <v>1</v>
      </c>
      <c r="AR11" s="63">
        <v>1</v>
      </c>
      <c r="AS11" s="63">
        <v>1</v>
      </c>
      <c r="AT11" s="63">
        <v>1</v>
      </c>
      <c r="AU11" s="63">
        <v>1</v>
      </c>
      <c r="AV11" s="63">
        <v>1</v>
      </c>
      <c r="AW11" s="63">
        <v>1</v>
      </c>
      <c r="AX11" s="63">
        <v>1</v>
      </c>
      <c r="AY11" s="63">
        <v>1</v>
      </c>
      <c r="AZ11" s="63">
        <v>1</v>
      </c>
      <c r="BA11" s="63">
        <v>1</v>
      </c>
      <c r="BB11" s="261"/>
      <c r="BC11" s="63">
        <v>1</v>
      </c>
      <c r="BD11" s="63">
        <v>1</v>
      </c>
      <c r="BE11" s="63">
        <v>1</v>
      </c>
      <c r="BF11" s="63">
        <v>1</v>
      </c>
      <c r="BG11" s="63">
        <v>1</v>
      </c>
      <c r="BH11" s="63">
        <v>1</v>
      </c>
      <c r="BI11" s="63">
        <v>1</v>
      </c>
      <c r="BJ11" s="63">
        <v>1</v>
      </c>
      <c r="BK11" s="63">
        <v>1</v>
      </c>
      <c r="BL11" s="265"/>
      <c r="BM11" s="257"/>
      <c r="BN11" s="257"/>
    </row>
    <row r="12" spans="1:66" ht="15" customHeight="1">
      <c r="A12" s="263">
        <v>6</v>
      </c>
      <c r="B12" s="299" t="s">
        <v>1439</v>
      </c>
      <c r="C12" s="260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305"/>
      <c r="Q12" s="63"/>
      <c r="R12" s="63"/>
      <c r="S12" s="63"/>
      <c r="T12" s="63"/>
      <c r="U12" s="63"/>
      <c r="V12" s="305"/>
      <c r="W12" s="63"/>
      <c r="X12" s="63"/>
      <c r="Y12" s="63"/>
      <c r="Z12" s="63"/>
      <c r="AA12" s="63"/>
      <c r="AB12" s="63"/>
      <c r="AC12" s="63"/>
      <c r="AD12" s="304">
        <v>1</v>
      </c>
      <c r="AE12" s="304">
        <v>1</v>
      </c>
      <c r="AF12" s="304">
        <v>1</v>
      </c>
      <c r="AG12" s="63">
        <v>1</v>
      </c>
      <c r="AH12" s="63">
        <v>1</v>
      </c>
      <c r="AI12" s="63">
        <v>1</v>
      </c>
      <c r="AJ12" s="63">
        <v>1</v>
      </c>
      <c r="AK12" s="63">
        <v>1</v>
      </c>
      <c r="AL12" s="63">
        <v>1</v>
      </c>
      <c r="AM12" s="63">
        <v>1</v>
      </c>
      <c r="AN12" s="63">
        <v>1</v>
      </c>
      <c r="AO12" s="63">
        <v>1</v>
      </c>
      <c r="AP12" s="63">
        <v>1</v>
      </c>
      <c r="AQ12" s="63">
        <v>1</v>
      </c>
      <c r="AR12" s="63">
        <v>1</v>
      </c>
      <c r="AS12" s="63">
        <v>1</v>
      </c>
      <c r="AT12" s="63">
        <v>1</v>
      </c>
      <c r="AU12" s="63">
        <v>1</v>
      </c>
      <c r="AV12" s="63">
        <v>1</v>
      </c>
      <c r="AW12" s="63">
        <v>1</v>
      </c>
      <c r="AX12" s="63">
        <v>1</v>
      </c>
      <c r="AY12" s="63">
        <v>1</v>
      </c>
      <c r="AZ12" s="63">
        <v>1</v>
      </c>
      <c r="BA12" s="63">
        <v>1</v>
      </c>
      <c r="BB12" s="261"/>
      <c r="BC12" s="63">
        <v>1</v>
      </c>
      <c r="BD12" s="63">
        <v>1</v>
      </c>
      <c r="BE12" s="63">
        <v>1</v>
      </c>
      <c r="BF12" s="63">
        <v>1</v>
      </c>
      <c r="BG12" s="63">
        <v>1</v>
      </c>
      <c r="BH12" s="63">
        <v>1</v>
      </c>
      <c r="BI12" s="63">
        <v>1</v>
      </c>
      <c r="BJ12" s="63">
        <v>1</v>
      </c>
      <c r="BK12" s="63">
        <v>1</v>
      </c>
      <c r="BL12" s="265"/>
      <c r="BM12" s="257"/>
      <c r="BN12" s="257"/>
    </row>
    <row r="13" spans="1:66" ht="15" customHeight="1">
      <c r="A13" s="214">
        <v>7</v>
      </c>
      <c r="B13" s="8" t="s">
        <v>1440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305"/>
      <c r="Q13" s="63"/>
      <c r="R13" s="63"/>
      <c r="S13" s="63"/>
      <c r="T13" s="63"/>
      <c r="U13" s="63"/>
      <c r="V13" s="305"/>
      <c r="W13" s="63"/>
      <c r="X13" s="63"/>
      <c r="Y13" s="63"/>
      <c r="Z13" s="63"/>
      <c r="AA13" s="63"/>
      <c r="AB13" s="63"/>
      <c r="AC13" s="63"/>
      <c r="AD13" s="304">
        <v>1</v>
      </c>
      <c r="AE13" s="304">
        <v>1</v>
      </c>
      <c r="AF13" s="304">
        <v>1</v>
      </c>
      <c r="AG13" s="63">
        <v>1</v>
      </c>
      <c r="AH13" s="63">
        <v>1</v>
      </c>
      <c r="AI13" s="63">
        <v>1</v>
      </c>
      <c r="AJ13" s="63">
        <v>1</v>
      </c>
      <c r="AK13" s="63">
        <v>1</v>
      </c>
      <c r="AL13" s="63">
        <v>1</v>
      </c>
      <c r="AM13" s="63">
        <v>1</v>
      </c>
      <c r="AN13" s="63">
        <v>1</v>
      </c>
      <c r="AO13" s="63">
        <v>1</v>
      </c>
      <c r="AP13" s="63">
        <v>1</v>
      </c>
      <c r="AQ13" s="63">
        <v>1</v>
      </c>
      <c r="AR13" s="63">
        <v>1</v>
      </c>
      <c r="AS13" s="63">
        <v>1</v>
      </c>
      <c r="AT13" s="63">
        <v>1</v>
      </c>
      <c r="AU13" s="63">
        <v>1</v>
      </c>
      <c r="AV13" s="63">
        <v>1</v>
      </c>
      <c r="AW13" s="63">
        <v>1</v>
      </c>
      <c r="AX13" s="63">
        <v>1</v>
      </c>
      <c r="AY13" s="63">
        <v>1</v>
      </c>
      <c r="AZ13" s="63">
        <v>1</v>
      </c>
      <c r="BA13" s="63">
        <v>1</v>
      </c>
      <c r="BB13" s="261"/>
      <c r="BC13" s="63">
        <v>1</v>
      </c>
      <c r="BD13" s="63">
        <v>1</v>
      </c>
      <c r="BE13" s="63">
        <v>1</v>
      </c>
      <c r="BF13" s="63">
        <v>1</v>
      </c>
      <c r="BG13" s="63">
        <v>1</v>
      </c>
      <c r="BH13" s="63">
        <v>1</v>
      </c>
      <c r="BI13" s="63">
        <v>1</v>
      </c>
      <c r="BJ13" s="63">
        <v>1</v>
      </c>
      <c r="BK13" s="63">
        <v>1</v>
      </c>
      <c r="BL13" s="265"/>
      <c r="BM13" s="257"/>
      <c r="BN13" s="257"/>
    </row>
    <row r="14" spans="1:66" ht="15" customHeight="1">
      <c r="A14" s="263">
        <v>8</v>
      </c>
      <c r="B14" s="7" t="s">
        <v>1441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305"/>
      <c r="Q14" s="63"/>
      <c r="R14" s="63"/>
      <c r="S14" s="63"/>
      <c r="T14" s="63"/>
      <c r="U14" s="63"/>
      <c r="V14" s="305"/>
      <c r="W14" s="63"/>
      <c r="X14" s="63"/>
      <c r="Y14" s="63"/>
      <c r="Z14" s="63"/>
      <c r="AA14" s="63"/>
      <c r="AB14" s="63"/>
      <c r="AC14" s="63"/>
      <c r="AD14" s="304"/>
      <c r="AE14" s="304"/>
      <c r="AF14" s="304"/>
      <c r="AG14" s="63"/>
      <c r="AH14" s="63">
        <v>1</v>
      </c>
      <c r="AI14" s="63">
        <v>1</v>
      </c>
      <c r="AJ14" s="63">
        <v>1</v>
      </c>
      <c r="AK14" s="63">
        <v>1</v>
      </c>
      <c r="AL14" s="63">
        <v>1</v>
      </c>
      <c r="AM14" s="63">
        <v>1</v>
      </c>
      <c r="AN14" s="63">
        <v>1</v>
      </c>
      <c r="AO14" s="63">
        <v>1</v>
      </c>
      <c r="AP14" s="63">
        <v>1</v>
      </c>
      <c r="AQ14" s="63">
        <v>1</v>
      </c>
      <c r="AR14" s="63">
        <v>1</v>
      </c>
      <c r="AS14" s="63">
        <v>1</v>
      </c>
      <c r="AT14" s="63">
        <v>1</v>
      </c>
      <c r="AU14" s="63">
        <v>1</v>
      </c>
      <c r="AV14" s="63">
        <v>1</v>
      </c>
      <c r="AW14" s="63">
        <v>1</v>
      </c>
      <c r="AX14" s="63">
        <v>1</v>
      </c>
      <c r="AY14" s="63">
        <v>1</v>
      </c>
      <c r="AZ14" s="63">
        <v>1</v>
      </c>
      <c r="BA14" s="63">
        <v>1</v>
      </c>
      <c r="BB14" s="261"/>
      <c r="BC14" s="63">
        <v>1</v>
      </c>
      <c r="BD14" s="63">
        <v>1</v>
      </c>
      <c r="BE14" s="63">
        <v>1</v>
      </c>
      <c r="BF14" s="63">
        <v>1</v>
      </c>
      <c r="BG14" s="63">
        <v>1</v>
      </c>
      <c r="BH14" s="63">
        <v>1</v>
      </c>
      <c r="BI14" s="63">
        <v>1</v>
      </c>
      <c r="BJ14" s="63">
        <v>1</v>
      </c>
      <c r="BK14" s="63">
        <v>1</v>
      </c>
      <c r="BL14" s="265"/>
      <c r="BM14" s="257"/>
      <c r="BN14" s="257"/>
    </row>
    <row r="15" spans="1:66" ht="15" customHeight="1">
      <c r="A15" s="263">
        <v>9</v>
      </c>
      <c r="B15" s="8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305"/>
      <c r="Q15" s="63"/>
      <c r="R15" s="63"/>
      <c r="S15" s="63"/>
      <c r="T15" s="63"/>
      <c r="U15" s="63"/>
      <c r="V15" s="305"/>
      <c r="W15" s="63"/>
      <c r="X15" s="63"/>
      <c r="Y15" s="63"/>
      <c r="Z15" s="63"/>
      <c r="AA15" s="63"/>
      <c r="AB15" s="63"/>
      <c r="AC15" s="63"/>
      <c r="AD15" s="304"/>
      <c r="AE15" s="304"/>
      <c r="AF15" s="304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261"/>
      <c r="BC15" s="63"/>
      <c r="BD15" s="63"/>
      <c r="BE15" s="63"/>
      <c r="BF15" s="63"/>
      <c r="BG15" s="63"/>
      <c r="BH15" s="63"/>
      <c r="BI15" s="63"/>
      <c r="BJ15" s="63"/>
      <c r="BK15" s="63"/>
      <c r="BL15" s="265"/>
      <c r="BM15" s="257"/>
      <c r="BN15" s="257"/>
    </row>
    <row r="16" spans="1:66" ht="15" customHeight="1">
      <c r="A16" s="263">
        <v>10</v>
      </c>
      <c r="B16" s="8" t="s">
        <v>1442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305"/>
      <c r="Q16" s="63"/>
      <c r="R16" s="63"/>
      <c r="S16" s="63"/>
      <c r="T16" s="63"/>
      <c r="U16" s="63"/>
      <c r="V16" s="305"/>
      <c r="W16" s="63"/>
      <c r="X16" s="63"/>
      <c r="Y16" s="63"/>
      <c r="Z16" s="63"/>
      <c r="AA16" s="63"/>
      <c r="AB16" s="63"/>
      <c r="AC16" s="63"/>
      <c r="AD16" s="304"/>
      <c r="AE16" s="304"/>
      <c r="AF16" s="304"/>
      <c r="AG16" s="63"/>
      <c r="AH16" s="63"/>
      <c r="AI16" s="63"/>
      <c r="AJ16" s="63">
        <v>1</v>
      </c>
      <c r="AK16" s="63">
        <v>1</v>
      </c>
      <c r="AL16" s="63">
        <v>1</v>
      </c>
      <c r="AM16" s="63">
        <v>1</v>
      </c>
      <c r="AN16" s="63">
        <v>1</v>
      </c>
      <c r="AO16" s="63">
        <v>1</v>
      </c>
      <c r="AP16" s="63">
        <v>1</v>
      </c>
      <c r="AQ16" s="63">
        <v>1</v>
      </c>
      <c r="AR16" s="63">
        <v>1</v>
      </c>
      <c r="AS16" s="63">
        <v>1</v>
      </c>
      <c r="AT16" s="63">
        <v>1</v>
      </c>
      <c r="AU16" s="63">
        <v>1</v>
      </c>
      <c r="AV16" s="63">
        <v>1</v>
      </c>
      <c r="AW16" s="63">
        <v>1</v>
      </c>
      <c r="AX16" s="63">
        <v>1</v>
      </c>
      <c r="AY16" s="63">
        <v>1</v>
      </c>
      <c r="AZ16" s="63">
        <v>1</v>
      </c>
      <c r="BA16" s="63">
        <v>1</v>
      </c>
      <c r="BB16" s="261"/>
      <c r="BC16" s="63">
        <v>1</v>
      </c>
      <c r="BD16" s="63">
        <v>1</v>
      </c>
      <c r="BE16" s="63">
        <v>1</v>
      </c>
      <c r="BF16" s="63">
        <v>1</v>
      </c>
      <c r="BG16" s="63">
        <v>1</v>
      </c>
      <c r="BH16" s="63">
        <v>1</v>
      </c>
      <c r="BI16" s="63">
        <v>1</v>
      </c>
      <c r="BJ16" s="63">
        <v>1</v>
      </c>
      <c r="BK16" s="63">
        <v>1</v>
      </c>
      <c r="BL16" s="265"/>
      <c r="BM16" s="257"/>
      <c r="BN16" s="257"/>
    </row>
    <row r="17" spans="1:66" ht="15" customHeight="1">
      <c r="A17" s="263">
        <v>11</v>
      </c>
      <c r="B17" s="373" t="s">
        <v>1443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305"/>
      <c r="Q17" s="63"/>
      <c r="R17" s="63"/>
      <c r="S17" s="63"/>
      <c r="T17" s="63"/>
      <c r="U17" s="63"/>
      <c r="V17" s="305"/>
      <c r="W17" s="63"/>
      <c r="X17" s="63"/>
      <c r="Y17" s="63"/>
      <c r="Z17" s="63"/>
      <c r="AA17" s="63"/>
      <c r="AB17" s="63"/>
      <c r="AC17" s="63"/>
      <c r="AD17" s="304"/>
      <c r="AE17" s="304"/>
      <c r="AF17" s="304"/>
      <c r="AG17" s="63"/>
      <c r="AH17" s="63"/>
      <c r="AI17" s="63"/>
      <c r="AJ17" s="63"/>
      <c r="AK17" s="63"/>
      <c r="AL17" s="63"/>
      <c r="AM17" s="63"/>
      <c r="AN17" s="63"/>
      <c r="AO17" s="63"/>
      <c r="AP17" s="372">
        <v>1</v>
      </c>
      <c r="AQ17" s="372">
        <v>1</v>
      </c>
      <c r="AR17" s="372">
        <v>1</v>
      </c>
      <c r="AS17" s="372">
        <v>1</v>
      </c>
      <c r="AT17" s="372">
        <v>1</v>
      </c>
      <c r="AU17" s="372">
        <v>1</v>
      </c>
      <c r="AV17" s="372">
        <v>1</v>
      </c>
      <c r="AW17" s="372">
        <v>1</v>
      </c>
      <c r="AX17" s="372">
        <v>1</v>
      </c>
      <c r="AY17" s="372">
        <v>1</v>
      </c>
      <c r="AZ17" s="372">
        <v>1</v>
      </c>
      <c r="BA17" s="372">
        <v>1</v>
      </c>
      <c r="BB17" s="261"/>
      <c r="BC17" s="372">
        <v>1</v>
      </c>
      <c r="BD17" s="372">
        <v>1</v>
      </c>
      <c r="BE17" s="372">
        <v>1</v>
      </c>
      <c r="BF17" s="372">
        <v>1</v>
      </c>
      <c r="BG17" s="372">
        <v>1</v>
      </c>
      <c r="BH17" s="372">
        <v>1</v>
      </c>
      <c r="BI17" s="372">
        <v>1</v>
      </c>
      <c r="BJ17" s="372">
        <v>1</v>
      </c>
      <c r="BK17" s="372">
        <v>1</v>
      </c>
      <c r="BL17" s="265"/>
      <c r="BM17" s="257"/>
      <c r="BN17" s="257"/>
    </row>
    <row r="18" spans="1:66" ht="15" customHeight="1">
      <c r="A18" s="263">
        <v>12</v>
      </c>
      <c r="B18" s="8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305"/>
      <c r="Q18" s="63"/>
      <c r="R18" s="63"/>
      <c r="S18" s="63"/>
      <c r="T18" s="63"/>
      <c r="U18" s="63"/>
      <c r="V18" s="305"/>
      <c r="W18" s="63"/>
      <c r="X18" s="63"/>
      <c r="Y18" s="63"/>
      <c r="Z18" s="63"/>
      <c r="AA18" s="63"/>
      <c r="AB18" s="63"/>
      <c r="AC18" s="63"/>
      <c r="AD18" s="304"/>
      <c r="AE18" s="304"/>
      <c r="AF18" s="304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261"/>
      <c r="BC18" s="63"/>
      <c r="BD18" s="63"/>
      <c r="BE18" s="63"/>
      <c r="BF18" s="63"/>
      <c r="BG18" s="63"/>
      <c r="BH18" s="63"/>
      <c r="BI18" s="63"/>
      <c r="BJ18" s="63"/>
      <c r="BK18" s="63"/>
      <c r="BL18" s="265"/>
      <c r="BM18" s="257"/>
      <c r="BN18" s="257"/>
    </row>
    <row r="19" spans="1:66" ht="15" customHeight="1">
      <c r="A19" s="263">
        <v>13</v>
      </c>
      <c r="B19" s="8" t="s">
        <v>1444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305"/>
      <c r="Q19" s="63"/>
      <c r="R19" s="63"/>
      <c r="S19" s="63"/>
      <c r="T19" s="63"/>
      <c r="U19" s="63"/>
      <c r="V19" s="305"/>
      <c r="W19" s="63"/>
      <c r="X19" s="63"/>
      <c r="Y19" s="63"/>
      <c r="Z19" s="63"/>
      <c r="AA19" s="63"/>
      <c r="AB19" s="63"/>
      <c r="AC19" s="63"/>
      <c r="AD19" s="304"/>
      <c r="AE19" s="304"/>
      <c r="AF19" s="304"/>
      <c r="AG19" s="63"/>
      <c r="AH19" s="63"/>
      <c r="AI19" s="63"/>
      <c r="AJ19" s="63"/>
      <c r="AK19" s="63"/>
      <c r="AL19" s="63"/>
      <c r="AM19" s="63"/>
      <c r="AN19" s="63"/>
      <c r="AO19" s="63"/>
      <c r="AP19" s="63">
        <v>1</v>
      </c>
      <c r="AQ19" s="63">
        <v>1</v>
      </c>
      <c r="AR19" s="63">
        <v>1</v>
      </c>
      <c r="AS19" s="63">
        <v>1</v>
      </c>
      <c r="AT19" s="63">
        <v>1</v>
      </c>
      <c r="AU19" s="63">
        <v>1</v>
      </c>
      <c r="AV19" s="63">
        <v>1</v>
      </c>
      <c r="AW19" s="63">
        <v>1</v>
      </c>
      <c r="AX19" s="63">
        <v>1</v>
      </c>
      <c r="AY19" s="63">
        <v>1</v>
      </c>
      <c r="AZ19" s="63">
        <v>1</v>
      </c>
      <c r="BA19" s="63">
        <v>1</v>
      </c>
      <c r="BB19" s="261"/>
      <c r="BC19" s="63">
        <v>1</v>
      </c>
      <c r="BD19" s="63">
        <v>1</v>
      </c>
      <c r="BE19" s="63">
        <v>1</v>
      </c>
      <c r="BF19" s="63">
        <v>1</v>
      </c>
      <c r="BG19" s="63">
        <v>1</v>
      </c>
      <c r="BH19" s="63">
        <v>1</v>
      </c>
      <c r="BI19" s="63">
        <v>1</v>
      </c>
      <c r="BJ19" s="63">
        <v>1</v>
      </c>
      <c r="BK19" s="63">
        <v>1</v>
      </c>
      <c r="BL19" s="265"/>
      <c r="BM19" s="257"/>
      <c r="BN19" s="257"/>
    </row>
    <row r="20" spans="1:66" ht="15" customHeight="1">
      <c r="A20" s="263">
        <v>14</v>
      </c>
      <c r="B20" s="8" t="s">
        <v>1445</v>
      </c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305"/>
      <c r="Q20" s="63"/>
      <c r="R20" s="63"/>
      <c r="S20" s="63"/>
      <c r="T20" s="63"/>
      <c r="U20" s="63"/>
      <c r="V20" s="305"/>
      <c r="W20" s="63"/>
      <c r="X20" s="63"/>
      <c r="Y20" s="63"/>
      <c r="Z20" s="63"/>
      <c r="AA20" s="63"/>
      <c r="AB20" s="63"/>
      <c r="AC20" s="63"/>
      <c r="AD20" s="304"/>
      <c r="AE20" s="304"/>
      <c r="AF20" s="304"/>
      <c r="AG20" s="63"/>
      <c r="AH20" s="63"/>
      <c r="AI20" s="63"/>
      <c r="AJ20" s="63"/>
      <c r="AK20" s="63"/>
      <c r="AL20" s="63"/>
      <c r="AM20" s="63"/>
      <c r="AN20" s="63"/>
      <c r="AO20" s="63"/>
      <c r="AP20" s="63">
        <v>1</v>
      </c>
      <c r="AQ20" s="63">
        <v>1</v>
      </c>
      <c r="AR20" s="63">
        <v>1</v>
      </c>
      <c r="AS20" s="63">
        <v>1</v>
      </c>
      <c r="AT20" s="63">
        <v>1</v>
      </c>
      <c r="AU20" s="63">
        <v>1</v>
      </c>
      <c r="AV20" s="63">
        <v>1</v>
      </c>
      <c r="AW20" s="63">
        <v>1</v>
      </c>
      <c r="AX20" s="63">
        <v>1</v>
      </c>
      <c r="AY20" s="63">
        <v>1</v>
      </c>
      <c r="AZ20" s="63">
        <v>1</v>
      </c>
      <c r="BA20" s="63">
        <v>1</v>
      </c>
      <c r="BB20" s="261"/>
      <c r="BC20" s="63">
        <v>1</v>
      </c>
      <c r="BD20" s="63">
        <v>1</v>
      </c>
      <c r="BE20" s="63">
        <v>1</v>
      </c>
      <c r="BF20" s="63">
        <v>1</v>
      </c>
      <c r="BG20" s="63">
        <v>1</v>
      </c>
      <c r="BH20" s="63">
        <v>1</v>
      </c>
      <c r="BI20" s="63">
        <v>1</v>
      </c>
      <c r="BJ20" s="63">
        <v>1</v>
      </c>
      <c r="BK20" s="63">
        <v>1</v>
      </c>
      <c r="BL20" s="265"/>
      <c r="BM20" s="257"/>
      <c r="BN20" s="257"/>
    </row>
    <row r="21" spans="1:66" ht="15" customHeight="1">
      <c r="A21" s="263">
        <v>15</v>
      </c>
      <c r="B21" s="7" t="s">
        <v>1446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305"/>
      <c r="Q21" s="63"/>
      <c r="R21" s="63"/>
      <c r="S21" s="63"/>
      <c r="T21" s="63"/>
      <c r="U21" s="63"/>
      <c r="V21" s="305"/>
      <c r="W21" s="63"/>
      <c r="X21" s="63"/>
      <c r="Y21" s="63"/>
      <c r="Z21" s="63"/>
      <c r="AA21" s="63"/>
      <c r="AB21" s="63"/>
      <c r="AC21" s="63"/>
      <c r="AD21" s="304"/>
      <c r="AE21" s="304"/>
      <c r="AF21" s="304"/>
      <c r="AG21" s="63"/>
      <c r="AH21" s="63"/>
      <c r="AI21" s="63"/>
      <c r="AJ21" s="63"/>
      <c r="AK21" s="63"/>
      <c r="AL21" s="63"/>
      <c r="AM21" s="63"/>
      <c r="AN21" s="63"/>
      <c r="AO21" s="63"/>
      <c r="AP21" s="63">
        <v>1</v>
      </c>
      <c r="AQ21" s="63">
        <v>1</v>
      </c>
      <c r="AR21" s="63">
        <v>1</v>
      </c>
      <c r="AS21" s="63">
        <v>1</v>
      </c>
      <c r="AT21" s="63">
        <v>1</v>
      </c>
      <c r="AU21" s="63">
        <v>1</v>
      </c>
      <c r="AV21" s="63">
        <v>1</v>
      </c>
      <c r="AW21" s="63">
        <v>1</v>
      </c>
      <c r="AX21" s="63">
        <v>1</v>
      </c>
      <c r="AY21" s="63">
        <v>1</v>
      </c>
      <c r="AZ21" s="63">
        <v>1</v>
      </c>
      <c r="BA21" s="63">
        <v>1</v>
      </c>
      <c r="BB21" s="261"/>
      <c r="BC21" s="63">
        <v>1</v>
      </c>
      <c r="BD21" s="63">
        <v>1</v>
      </c>
      <c r="BE21" s="63">
        <v>1</v>
      </c>
      <c r="BF21" s="63">
        <v>1</v>
      </c>
      <c r="BG21" s="63">
        <v>1</v>
      </c>
      <c r="BH21" s="63">
        <v>1</v>
      </c>
      <c r="BI21" s="63">
        <v>1</v>
      </c>
      <c r="BJ21" s="63">
        <v>1</v>
      </c>
      <c r="BK21" s="63">
        <v>1</v>
      </c>
      <c r="BL21" s="265"/>
      <c r="BM21" s="257"/>
      <c r="BN21" s="257"/>
    </row>
    <row r="22" spans="1:66" ht="15" customHeight="1">
      <c r="A22" s="263">
        <v>16</v>
      </c>
      <c r="B22" s="7" t="s">
        <v>1447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305"/>
      <c r="Q22" s="63"/>
      <c r="R22" s="63"/>
      <c r="S22" s="63"/>
      <c r="T22" s="63"/>
      <c r="U22" s="63"/>
      <c r="V22" s="305"/>
      <c r="W22" s="63"/>
      <c r="X22" s="63"/>
      <c r="Y22" s="63"/>
      <c r="Z22" s="63"/>
      <c r="AA22" s="63"/>
      <c r="AB22" s="63"/>
      <c r="AC22" s="63"/>
      <c r="AD22" s="305"/>
      <c r="AE22" s="305"/>
      <c r="AF22" s="305"/>
      <c r="AG22" s="63"/>
      <c r="AH22" s="63"/>
      <c r="AI22" s="63"/>
      <c r="AJ22" s="63"/>
      <c r="AK22" s="63"/>
      <c r="AL22" s="63"/>
      <c r="AM22" s="63"/>
      <c r="AN22" s="63"/>
      <c r="AO22" s="63"/>
      <c r="AP22" s="63">
        <v>1</v>
      </c>
      <c r="AQ22" s="63">
        <v>1</v>
      </c>
      <c r="AR22" s="63">
        <v>1</v>
      </c>
      <c r="AS22" s="63">
        <v>1</v>
      </c>
      <c r="AT22" s="63">
        <v>1</v>
      </c>
      <c r="AU22" s="63">
        <v>1</v>
      </c>
      <c r="AV22" s="63">
        <v>1</v>
      </c>
      <c r="AW22" s="63">
        <v>1</v>
      </c>
      <c r="AX22" s="63">
        <v>1</v>
      </c>
      <c r="AY22" s="63">
        <v>1</v>
      </c>
      <c r="AZ22" s="63">
        <v>1</v>
      </c>
      <c r="BA22" s="63">
        <v>1</v>
      </c>
      <c r="BB22" s="261"/>
      <c r="BC22" s="63">
        <v>1</v>
      </c>
      <c r="BD22" s="63">
        <v>1</v>
      </c>
      <c r="BE22" s="63">
        <v>1</v>
      </c>
      <c r="BF22" s="63">
        <v>1</v>
      </c>
      <c r="BG22" s="63">
        <v>1</v>
      </c>
      <c r="BH22" s="63">
        <v>1</v>
      </c>
      <c r="BI22" s="63">
        <v>1</v>
      </c>
      <c r="BJ22" s="63">
        <v>1</v>
      </c>
      <c r="BK22" s="63">
        <v>1</v>
      </c>
      <c r="BL22" s="265"/>
      <c r="BM22" s="257"/>
      <c r="BN22" s="257"/>
    </row>
    <row r="23" spans="1:66" ht="15" customHeight="1" thickBot="1">
      <c r="A23" s="266">
        <v>17</v>
      </c>
      <c r="B23" s="200" t="s">
        <v>1448</v>
      </c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306"/>
      <c r="Q23" s="201"/>
      <c r="R23" s="201"/>
      <c r="S23" s="201"/>
      <c r="T23" s="201"/>
      <c r="U23" s="201"/>
      <c r="V23" s="306"/>
      <c r="W23" s="201"/>
      <c r="X23" s="201"/>
      <c r="Y23" s="201"/>
      <c r="Z23" s="201"/>
      <c r="AA23" s="201"/>
      <c r="AB23" s="201"/>
      <c r="AC23" s="201"/>
      <c r="AD23" s="306"/>
      <c r="AE23" s="306"/>
      <c r="AF23" s="306"/>
      <c r="AG23" s="201"/>
      <c r="AH23" s="201"/>
      <c r="AI23" s="201"/>
      <c r="AJ23" s="201"/>
      <c r="AK23" s="201"/>
      <c r="AL23" s="201"/>
      <c r="AM23" s="201"/>
      <c r="AN23" s="201"/>
      <c r="AO23" s="201"/>
      <c r="AP23" s="201">
        <v>1</v>
      </c>
      <c r="AQ23" s="201">
        <v>1</v>
      </c>
      <c r="AR23" s="201">
        <v>1</v>
      </c>
      <c r="AS23" s="201">
        <v>1</v>
      </c>
      <c r="AT23" s="201">
        <v>1</v>
      </c>
      <c r="AU23" s="201">
        <v>1</v>
      </c>
      <c r="AV23" s="201">
        <v>1</v>
      </c>
      <c r="AW23" s="201">
        <v>1</v>
      </c>
      <c r="AX23" s="201">
        <v>1</v>
      </c>
      <c r="AY23" s="201">
        <v>1</v>
      </c>
      <c r="AZ23" s="201">
        <v>1</v>
      </c>
      <c r="BA23" s="201">
        <v>1</v>
      </c>
      <c r="BB23" s="202"/>
      <c r="BC23" s="201">
        <v>1</v>
      </c>
      <c r="BD23" s="201">
        <v>1</v>
      </c>
      <c r="BE23" s="201">
        <v>1</v>
      </c>
      <c r="BF23" s="201">
        <v>1</v>
      </c>
      <c r="BG23" s="201">
        <v>1</v>
      </c>
      <c r="BH23" s="201">
        <v>1</v>
      </c>
      <c r="BI23" s="201">
        <v>1</v>
      </c>
      <c r="BJ23" s="201">
        <v>1</v>
      </c>
      <c r="BK23" s="201">
        <v>1</v>
      </c>
      <c r="BL23" s="267"/>
      <c r="BM23" s="257"/>
      <c r="BN23" s="257"/>
    </row>
    <row r="24" spans="1:66" ht="15" customHeight="1">
      <c r="A24" s="214" t="s">
        <v>1449</v>
      </c>
      <c r="B24" s="6" t="s">
        <v>1450</v>
      </c>
      <c r="C24" s="268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>
        <v>0.5</v>
      </c>
      <c r="P24" s="305">
        <v>0.2</v>
      </c>
      <c r="Q24" s="63">
        <v>1</v>
      </c>
      <c r="R24" s="63">
        <v>1</v>
      </c>
      <c r="S24" s="63">
        <v>1</v>
      </c>
      <c r="T24" s="63">
        <v>1</v>
      </c>
      <c r="U24" s="63">
        <v>1</v>
      </c>
      <c r="V24" s="305">
        <v>1</v>
      </c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58"/>
      <c r="BC24" s="264"/>
      <c r="BD24" s="63"/>
      <c r="BE24" s="63"/>
      <c r="BF24" s="63"/>
      <c r="BG24" s="63"/>
      <c r="BH24" s="63"/>
      <c r="BI24" s="63"/>
      <c r="BJ24" s="63"/>
      <c r="BK24" s="63"/>
      <c r="BL24" s="265"/>
      <c r="BM24" s="257"/>
      <c r="BN24" s="257"/>
    </row>
    <row r="25" spans="1:66" ht="15" customHeight="1">
      <c r="A25" s="214" t="s">
        <v>1451</v>
      </c>
      <c r="B25" s="6" t="s">
        <v>1452</v>
      </c>
      <c r="C25" s="268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>
        <v>0.5</v>
      </c>
      <c r="P25" s="305">
        <v>0.2</v>
      </c>
      <c r="Q25" s="63">
        <v>1</v>
      </c>
      <c r="R25" s="63">
        <v>1</v>
      </c>
      <c r="S25" s="63">
        <v>1</v>
      </c>
      <c r="T25" s="63">
        <v>1</v>
      </c>
      <c r="U25" s="63">
        <v>1</v>
      </c>
      <c r="V25" s="305">
        <v>1</v>
      </c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58"/>
      <c r="BC25" s="264"/>
      <c r="BD25" s="63"/>
      <c r="BE25" s="63"/>
      <c r="BF25" s="63"/>
      <c r="BG25" s="63"/>
      <c r="BH25" s="63"/>
      <c r="BI25" s="63"/>
      <c r="BJ25" s="63"/>
      <c r="BK25" s="63"/>
      <c r="BL25" s="265"/>
      <c r="BM25" s="257"/>
      <c r="BN25" s="257"/>
    </row>
    <row r="26" spans="1:66" ht="15" customHeight="1">
      <c r="A26" s="214" t="s">
        <v>1453</v>
      </c>
      <c r="B26" s="6" t="s">
        <v>1454</v>
      </c>
      <c r="C26" s="268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305"/>
      <c r="Q26" s="63"/>
      <c r="R26" s="63"/>
      <c r="S26" s="63"/>
      <c r="T26" s="63"/>
      <c r="U26" s="63"/>
      <c r="V26" s="305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58"/>
      <c r="BC26" s="264"/>
      <c r="BD26" s="63"/>
      <c r="BE26" s="63"/>
      <c r="BF26" s="63"/>
      <c r="BG26" s="63"/>
      <c r="BH26" s="63"/>
      <c r="BI26" s="63"/>
      <c r="BJ26" s="63"/>
      <c r="BK26" s="63"/>
      <c r="BL26" s="265"/>
      <c r="BM26" s="257"/>
      <c r="BN26" s="257"/>
    </row>
    <row r="27" spans="1:66" ht="15" customHeight="1">
      <c r="A27" s="214" t="s">
        <v>1455</v>
      </c>
      <c r="B27" s="6" t="s">
        <v>1456</v>
      </c>
      <c r="C27" s="268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305"/>
      <c r="Q27" s="63"/>
      <c r="R27" s="63"/>
      <c r="S27" s="63"/>
      <c r="T27" s="63"/>
      <c r="U27" s="63"/>
      <c r="V27" s="305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58"/>
      <c r="BC27" s="264"/>
      <c r="BD27" s="63"/>
      <c r="BE27" s="63"/>
      <c r="BF27" s="63"/>
      <c r="BG27" s="63"/>
      <c r="BH27" s="63"/>
      <c r="BI27" s="63"/>
      <c r="BJ27" s="63"/>
      <c r="BK27" s="63"/>
      <c r="BL27" s="265"/>
      <c r="BM27" s="257"/>
      <c r="BN27" s="257"/>
    </row>
    <row r="28" spans="1:66" ht="15" customHeight="1" thickBot="1">
      <c r="A28" s="269"/>
      <c r="B28" s="199" t="s">
        <v>1457</v>
      </c>
      <c r="C28" s="270">
        <f t="shared" ref="C28:H28" si="5">SUM(C24:C27)</f>
        <v>0</v>
      </c>
      <c r="D28" s="270">
        <f t="shared" si="5"/>
        <v>0</v>
      </c>
      <c r="E28" s="270">
        <f t="shared" si="5"/>
        <v>0</v>
      </c>
      <c r="F28" s="270">
        <f t="shared" si="5"/>
        <v>0</v>
      </c>
      <c r="G28" s="270">
        <f t="shared" si="5"/>
        <v>0</v>
      </c>
      <c r="H28" s="270">
        <f t="shared" si="5"/>
        <v>0</v>
      </c>
      <c r="I28" s="270">
        <f>SUM(I24:I27)</f>
        <v>0</v>
      </c>
      <c r="J28" s="270">
        <f t="shared" ref="J28:BL28" si="6">SUM(J24:J27)</f>
        <v>0</v>
      </c>
      <c r="K28" s="270">
        <f t="shared" si="6"/>
        <v>0</v>
      </c>
      <c r="L28" s="270">
        <f t="shared" si="6"/>
        <v>0</v>
      </c>
      <c r="M28" s="270">
        <f t="shared" si="6"/>
        <v>0</v>
      </c>
      <c r="N28" s="270">
        <f t="shared" si="6"/>
        <v>0</v>
      </c>
      <c r="O28" s="270">
        <f t="shared" si="6"/>
        <v>1</v>
      </c>
      <c r="P28" s="270">
        <f t="shared" si="6"/>
        <v>0.4</v>
      </c>
      <c r="Q28" s="270">
        <f t="shared" si="6"/>
        <v>2</v>
      </c>
      <c r="R28" s="270">
        <f t="shared" si="6"/>
        <v>2</v>
      </c>
      <c r="S28" s="270">
        <f t="shared" si="6"/>
        <v>2</v>
      </c>
      <c r="T28" s="270">
        <f t="shared" si="6"/>
        <v>2</v>
      </c>
      <c r="U28" s="270">
        <f t="shared" si="6"/>
        <v>2</v>
      </c>
      <c r="V28" s="351">
        <f t="shared" si="6"/>
        <v>2</v>
      </c>
      <c r="W28" s="270">
        <f t="shared" si="6"/>
        <v>0</v>
      </c>
      <c r="X28" s="270">
        <f t="shared" si="6"/>
        <v>0</v>
      </c>
      <c r="Y28" s="270">
        <f t="shared" si="6"/>
        <v>0</v>
      </c>
      <c r="Z28" s="270">
        <f t="shared" si="6"/>
        <v>0</v>
      </c>
      <c r="AA28" s="270">
        <f t="shared" si="6"/>
        <v>0</v>
      </c>
      <c r="AB28" s="270">
        <f t="shared" si="6"/>
        <v>0</v>
      </c>
      <c r="AC28" s="270">
        <f t="shared" si="6"/>
        <v>0</v>
      </c>
      <c r="AD28" s="270">
        <f t="shared" si="6"/>
        <v>0</v>
      </c>
      <c r="AE28" s="270">
        <f t="shared" si="6"/>
        <v>0</v>
      </c>
      <c r="AF28" s="270">
        <f t="shared" si="6"/>
        <v>0</v>
      </c>
      <c r="AG28" s="270">
        <f t="shared" si="6"/>
        <v>0</v>
      </c>
      <c r="AH28" s="270">
        <f t="shared" si="6"/>
        <v>0</v>
      </c>
      <c r="AI28" s="270">
        <f t="shared" si="6"/>
        <v>0</v>
      </c>
      <c r="AJ28" s="270">
        <f t="shared" si="6"/>
        <v>0</v>
      </c>
      <c r="AK28" s="270">
        <f t="shared" si="6"/>
        <v>0</v>
      </c>
      <c r="AL28" s="270">
        <f t="shared" si="6"/>
        <v>0</v>
      </c>
      <c r="AM28" s="270">
        <f t="shared" si="6"/>
        <v>0</v>
      </c>
      <c r="AN28" s="270">
        <f t="shared" si="6"/>
        <v>0</v>
      </c>
      <c r="AO28" s="270">
        <f t="shared" si="6"/>
        <v>0</v>
      </c>
      <c r="AP28" s="270">
        <f t="shared" si="6"/>
        <v>0</v>
      </c>
      <c r="AQ28" s="270">
        <f t="shared" si="6"/>
        <v>0</v>
      </c>
      <c r="AR28" s="270">
        <f t="shared" si="6"/>
        <v>0</v>
      </c>
      <c r="AS28" s="270">
        <f t="shared" si="6"/>
        <v>0</v>
      </c>
      <c r="AT28" s="270">
        <f t="shared" si="6"/>
        <v>0</v>
      </c>
      <c r="AU28" s="270">
        <f t="shared" si="6"/>
        <v>0</v>
      </c>
      <c r="AV28" s="270">
        <f t="shared" si="6"/>
        <v>0</v>
      </c>
      <c r="AW28" s="270">
        <f t="shared" si="6"/>
        <v>0</v>
      </c>
      <c r="AX28" s="270">
        <f t="shared" si="6"/>
        <v>0</v>
      </c>
      <c r="AY28" s="270">
        <f t="shared" si="6"/>
        <v>0</v>
      </c>
      <c r="AZ28" s="270">
        <f t="shared" si="6"/>
        <v>0</v>
      </c>
      <c r="BA28" s="270">
        <f t="shared" si="6"/>
        <v>0</v>
      </c>
      <c r="BB28" s="270">
        <f t="shared" si="6"/>
        <v>0</v>
      </c>
      <c r="BC28" s="270">
        <f t="shared" si="6"/>
        <v>0</v>
      </c>
      <c r="BD28" s="270">
        <f t="shared" si="6"/>
        <v>0</v>
      </c>
      <c r="BE28" s="270">
        <f t="shared" si="6"/>
        <v>0</v>
      </c>
      <c r="BF28" s="270">
        <f t="shared" si="6"/>
        <v>0</v>
      </c>
      <c r="BG28" s="270">
        <f t="shared" si="6"/>
        <v>0</v>
      </c>
      <c r="BH28" s="270">
        <f t="shared" si="6"/>
        <v>0</v>
      </c>
      <c r="BI28" s="270">
        <f t="shared" si="6"/>
        <v>0</v>
      </c>
      <c r="BJ28" s="270">
        <f t="shared" si="6"/>
        <v>0</v>
      </c>
      <c r="BK28" s="270">
        <f t="shared" si="6"/>
        <v>0</v>
      </c>
      <c r="BL28" s="270">
        <f t="shared" si="6"/>
        <v>0</v>
      </c>
      <c r="BM28" s="257"/>
      <c r="BN28" s="257"/>
    </row>
    <row r="29" spans="1:66" s="326" customFormat="1" ht="15" customHeight="1">
      <c r="A29" s="324"/>
      <c r="B29" s="325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 t="s">
        <v>1458</v>
      </c>
      <c r="Q29" s="256"/>
      <c r="R29" s="256"/>
      <c r="S29" s="256"/>
      <c r="T29" s="256"/>
      <c r="U29" s="256"/>
      <c r="V29" s="256" t="s">
        <v>1417</v>
      </c>
      <c r="W29" s="256"/>
      <c r="X29" s="256"/>
      <c r="Y29" s="256"/>
      <c r="Z29" s="256"/>
      <c r="AA29" s="256"/>
      <c r="AB29" s="256"/>
      <c r="AC29" s="256"/>
      <c r="AD29" s="256"/>
      <c r="AE29" s="256"/>
      <c r="AF29" s="256"/>
      <c r="AG29" s="256"/>
      <c r="AH29" s="256"/>
      <c r="AI29" s="256"/>
      <c r="AJ29" s="256"/>
      <c r="AK29" s="256"/>
      <c r="AL29" s="256"/>
      <c r="AM29" s="256"/>
      <c r="AN29" s="256"/>
      <c r="AO29" s="256"/>
      <c r="AP29" s="256"/>
      <c r="AQ29" s="256"/>
      <c r="AR29" s="256"/>
      <c r="AS29" s="256"/>
      <c r="AT29" s="256"/>
      <c r="AU29" s="256"/>
      <c r="AV29" s="256"/>
      <c r="AW29" s="256"/>
      <c r="AX29" s="256"/>
      <c r="AY29" s="256"/>
      <c r="AZ29" s="256"/>
      <c r="BA29" s="256"/>
      <c r="BB29" s="256"/>
      <c r="BC29" s="256"/>
      <c r="BD29" s="256"/>
      <c r="BE29" s="256"/>
      <c r="BF29" s="256"/>
      <c r="BG29" s="256"/>
      <c r="BH29" s="256"/>
      <c r="BI29" s="256"/>
      <c r="BJ29" s="256"/>
      <c r="BK29" s="256"/>
      <c r="BL29" s="256"/>
      <c r="BM29" s="325"/>
      <c r="BN29" s="325"/>
    </row>
    <row r="30" spans="1:66" ht="15" customHeight="1">
      <c r="A30" s="271"/>
      <c r="B30" s="213">
        <f>COUNTA(B8:B23)</f>
        <v>14</v>
      </c>
      <c r="C30" s="207" t="s">
        <v>1459</v>
      </c>
      <c r="D30" s="207"/>
      <c r="E30" s="207">
        <v>37.5</v>
      </c>
      <c r="F30" s="256"/>
      <c r="G30" s="256"/>
      <c r="H30" s="256"/>
      <c r="I30" s="256"/>
      <c r="J30" s="256"/>
      <c r="K30" s="256"/>
      <c r="L30" s="256"/>
      <c r="M30" s="256"/>
      <c r="N30" s="256"/>
      <c r="O30" s="209"/>
      <c r="P30" s="209"/>
      <c r="Q30" s="256"/>
      <c r="R30" s="256"/>
      <c r="S30" s="256"/>
      <c r="T30" s="256"/>
      <c r="U30" s="209"/>
      <c r="V30" s="210"/>
      <c r="W30" s="210"/>
      <c r="X30" s="256"/>
      <c r="Y30" s="256"/>
      <c r="Z30" s="256"/>
      <c r="AA30" s="256"/>
      <c r="AB30" s="256"/>
      <c r="AC30" s="256"/>
      <c r="AD30" s="256"/>
      <c r="AE30" s="256"/>
      <c r="AF30" s="256"/>
      <c r="AG30" s="256"/>
      <c r="AH30" s="256"/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11"/>
      <c r="AT30" s="211"/>
      <c r="AU30" s="211"/>
      <c r="AV30" s="211"/>
      <c r="AW30" s="211"/>
      <c r="AX30" s="211"/>
      <c r="AY30" s="211"/>
      <c r="AZ30" s="211"/>
      <c r="BA30" s="211"/>
      <c r="BB30" s="211"/>
      <c r="BC30" s="257"/>
      <c r="BD30" s="257"/>
      <c r="BE30" s="257"/>
      <c r="BF30" s="257"/>
      <c r="BG30" s="257"/>
      <c r="BH30" s="257"/>
      <c r="BI30" s="257"/>
      <c r="BJ30" s="257"/>
      <c r="BK30" s="257"/>
      <c r="BL30" s="257"/>
      <c r="BM30" s="257"/>
      <c r="BN30" s="257"/>
    </row>
    <row r="31" spans="1:66" ht="15" customHeight="1">
      <c r="A31" s="271"/>
      <c r="B31" s="212"/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09"/>
      <c r="P31" s="209"/>
      <c r="Q31" s="256"/>
      <c r="R31" s="256"/>
      <c r="S31" s="256"/>
      <c r="T31" s="256"/>
      <c r="U31" s="209"/>
      <c r="V31" s="210"/>
      <c r="W31" s="210"/>
      <c r="X31" s="256"/>
      <c r="Y31" s="256"/>
      <c r="Z31" s="256"/>
      <c r="AA31" s="256"/>
      <c r="AB31" s="256"/>
      <c r="AC31" s="256"/>
      <c r="AD31" s="256"/>
      <c r="AE31" s="256"/>
      <c r="AF31" s="256"/>
      <c r="AG31" s="256"/>
      <c r="AH31" s="256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7"/>
      <c r="BD31" s="257"/>
      <c r="BE31" s="257"/>
      <c r="BF31" s="257"/>
      <c r="BG31" s="257"/>
      <c r="BH31" s="257"/>
      <c r="BI31" s="257"/>
      <c r="BJ31" s="257"/>
      <c r="BK31" s="257"/>
      <c r="BL31" s="257"/>
      <c r="BM31" s="257"/>
      <c r="BN31" s="257"/>
    </row>
    <row r="32" spans="1:66" ht="15" customHeight="1">
      <c r="A32" s="271"/>
      <c r="B32" s="212"/>
      <c r="C32" s="256"/>
      <c r="D32" s="256"/>
      <c r="E32" s="256"/>
      <c r="F32" s="256"/>
      <c r="G32" s="256"/>
      <c r="H32" s="256"/>
      <c r="I32" s="256"/>
      <c r="J32" s="256"/>
      <c r="K32" s="256"/>
      <c r="L32" s="256"/>
      <c r="M32" s="256"/>
      <c r="N32" s="256"/>
      <c r="O32" s="209"/>
      <c r="P32" s="209"/>
      <c r="Q32" s="256"/>
      <c r="R32" s="256"/>
      <c r="S32" s="256"/>
      <c r="T32" s="256"/>
      <c r="U32" s="209"/>
      <c r="V32" s="210"/>
      <c r="W32" s="210"/>
      <c r="X32" s="256"/>
      <c r="Y32" s="256"/>
      <c r="Z32" s="256"/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  <c r="BB32" s="256"/>
      <c r="BC32" s="257"/>
      <c r="BD32" s="257"/>
      <c r="BE32" s="257"/>
      <c r="BF32" s="257"/>
      <c r="BG32" s="257"/>
      <c r="BH32" s="257"/>
      <c r="BI32" s="257"/>
      <c r="BJ32" s="257"/>
      <c r="BK32" s="257"/>
      <c r="BL32" s="257"/>
      <c r="BM32" s="257"/>
      <c r="BN32" s="257"/>
    </row>
    <row r="33" spans="1:66" ht="15" customHeight="1">
      <c r="A33" s="271"/>
      <c r="B33" s="212"/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  <c r="Z33" s="257"/>
      <c r="AA33" s="257"/>
      <c r="AB33" s="257"/>
      <c r="AC33" s="257"/>
      <c r="AD33" s="257"/>
      <c r="AE33" s="257"/>
      <c r="AF33" s="257"/>
      <c r="AG33" s="257"/>
      <c r="AH33" s="257"/>
      <c r="AI33" s="257"/>
      <c r="AJ33" s="257"/>
      <c r="AK33" s="257"/>
      <c r="AL33" s="257"/>
      <c r="AM33" s="257"/>
      <c r="AN33" s="257"/>
      <c r="AO33" s="257"/>
      <c r="AP33" s="257"/>
      <c r="AQ33" s="257"/>
      <c r="AR33" s="257"/>
      <c r="AS33" s="257"/>
      <c r="AT33" s="257"/>
      <c r="AU33" s="257"/>
      <c r="AV33" s="257"/>
      <c r="AW33" s="257"/>
      <c r="AX33" s="257"/>
      <c r="AY33" s="257"/>
      <c r="AZ33" s="257"/>
      <c r="BA33" s="257"/>
      <c r="BB33" s="257"/>
      <c r="BC33" s="257"/>
      <c r="BD33" s="257"/>
      <c r="BE33" s="257"/>
      <c r="BF33" s="257"/>
      <c r="BG33" s="257"/>
      <c r="BH33" s="257"/>
      <c r="BI33" s="257"/>
      <c r="BJ33" s="257"/>
      <c r="BK33" s="257"/>
      <c r="BL33" s="257"/>
      <c r="BM33" s="257"/>
      <c r="BN33" s="257"/>
    </row>
    <row r="34" spans="1:66">
      <c r="A34" s="259"/>
      <c r="B34" s="257"/>
      <c r="C34" s="257"/>
      <c r="D34" s="257"/>
      <c r="E34" s="257"/>
      <c r="F34" s="257"/>
      <c r="G34" s="257"/>
      <c r="H34" s="257"/>
      <c r="I34" s="257"/>
      <c r="J34" s="257"/>
      <c r="K34" s="257"/>
      <c r="L34" s="257"/>
      <c r="M34" s="257"/>
      <c r="N34" s="257"/>
      <c r="O34" s="257"/>
      <c r="P34" s="272"/>
      <c r="Q34" s="257"/>
      <c r="R34" s="257"/>
      <c r="S34" s="257"/>
      <c r="T34" s="257"/>
      <c r="U34" s="257"/>
      <c r="V34" s="257"/>
      <c r="W34" s="257"/>
      <c r="X34" s="257"/>
      <c r="Y34" s="257"/>
      <c r="Z34" s="257"/>
      <c r="AA34" s="257"/>
      <c r="AB34" s="257"/>
      <c r="AC34" s="257"/>
      <c r="AD34" s="257"/>
      <c r="AE34" s="257"/>
      <c r="AF34" s="257"/>
      <c r="AG34" s="257"/>
      <c r="AH34" s="257"/>
      <c r="AI34" s="257"/>
      <c r="AJ34" s="257"/>
      <c r="AK34" s="257"/>
      <c r="AL34" s="257"/>
      <c r="AM34" s="257"/>
      <c r="AN34" s="257"/>
      <c r="AO34" s="257"/>
      <c r="AP34" s="257"/>
      <c r="AQ34" s="257"/>
      <c r="AR34" s="257"/>
      <c r="AS34" s="257"/>
      <c r="AT34" s="257"/>
      <c r="AU34" s="257"/>
      <c r="AV34" s="257"/>
      <c r="AW34" s="257"/>
      <c r="AX34" s="257"/>
      <c r="AY34" s="257"/>
      <c r="AZ34" s="257"/>
      <c r="BA34" s="257"/>
      <c r="BB34" s="257"/>
      <c r="BC34" s="257"/>
      <c r="BD34" s="257"/>
      <c r="BE34" s="257"/>
      <c r="BF34" s="257"/>
      <c r="BG34" s="257"/>
      <c r="BH34" s="257"/>
      <c r="BI34" s="257"/>
      <c r="BJ34" s="257"/>
      <c r="BK34" s="257"/>
      <c r="BL34" s="257"/>
      <c r="BM34" s="257"/>
      <c r="BN34" s="257"/>
    </row>
    <row r="35" spans="1:66">
      <c r="A35" s="259"/>
      <c r="B35" s="257"/>
      <c r="C35" s="257"/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  <c r="AF35" s="257"/>
      <c r="AG35" s="257"/>
      <c r="AH35" s="257"/>
      <c r="AI35" s="257"/>
      <c r="AJ35" s="257"/>
      <c r="AK35" s="257"/>
      <c r="AL35" s="257"/>
      <c r="AM35" s="257"/>
      <c r="AN35" s="257"/>
      <c r="AO35" s="257"/>
      <c r="AP35" s="257"/>
      <c r="AQ35" s="257"/>
      <c r="AR35" s="257"/>
      <c r="AS35" s="257"/>
      <c r="AT35" s="257"/>
      <c r="AU35" s="257"/>
      <c r="AV35" s="257"/>
      <c r="AW35" s="257"/>
      <c r="AX35" s="257"/>
      <c r="AY35" s="257"/>
      <c r="AZ35" s="257"/>
      <c r="BA35" s="257"/>
      <c r="BB35" s="257"/>
      <c r="BC35" s="257"/>
      <c r="BD35" s="257"/>
      <c r="BE35" s="257"/>
      <c r="BF35" s="257"/>
      <c r="BG35" s="257"/>
      <c r="BH35" s="257"/>
      <c r="BI35" s="257"/>
      <c r="BJ35" s="257"/>
      <c r="BK35" s="257"/>
      <c r="BL35" s="257"/>
      <c r="BM35" s="257"/>
      <c r="BN35" s="257"/>
    </row>
    <row r="36" spans="1:66">
      <c r="A36" s="259"/>
      <c r="B36" s="257"/>
      <c r="C36" s="257"/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  <c r="AA36" s="257"/>
      <c r="AB36" s="257"/>
      <c r="AC36" s="257"/>
      <c r="AD36" s="257"/>
      <c r="AE36" s="257"/>
      <c r="AF36" s="257"/>
      <c r="AG36" s="257"/>
      <c r="AH36" s="257"/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7"/>
      <c r="AT36" s="257"/>
      <c r="AU36" s="257"/>
      <c r="AV36" s="257"/>
      <c r="AW36" s="257"/>
      <c r="AX36" s="257"/>
      <c r="AY36" s="257"/>
      <c r="AZ36" s="257"/>
      <c r="BA36" s="257"/>
      <c r="BB36" s="257"/>
      <c r="BC36" s="257"/>
      <c r="BD36" s="257"/>
      <c r="BE36" s="257"/>
      <c r="BF36" s="257"/>
      <c r="BG36" s="257"/>
      <c r="BH36" s="257"/>
      <c r="BI36" s="257"/>
      <c r="BJ36" s="257"/>
      <c r="BK36" s="257"/>
      <c r="BL36" s="257"/>
      <c r="BM36" s="257"/>
      <c r="BN36" s="257"/>
    </row>
    <row r="37" spans="1:66">
      <c r="A37" s="259"/>
      <c r="B37" s="257"/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  <c r="AF37" s="257"/>
      <c r="AG37" s="257"/>
      <c r="AH37" s="257"/>
      <c r="AI37" s="257"/>
      <c r="AJ37" s="257"/>
      <c r="AK37" s="257"/>
      <c r="AL37" s="257"/>
      <c r="AM37" s="257"/>
      <c r="AN37" s="257"/>
      <c r="AO37" s="257"/>
      <c r="AP37" s="257"/>
      <c r="AQ37" s="257"/>
      <c r="AR37" s="257"/>
      <c r="AS37" s="257"/>
      <c r="AT37" s="257"/>
      <c r="AU37" s="257"/>
      <c r="AV37" s="257"/>
      <c r="AW37" s="257"/>
      <c r="AX37" s="257"/>
      <c r="AY37" s="257"/>
      <c r="AZ37" s="257"/>
      <c r="BA37" s="257"/>
      <c r="BB37" s="257"/>
      <c r="BC37" s="257"/>
      <c r="BD37" s="257"/>
      <c r="BE37" s="257"/>
      <c r="BF37" s="257"/>
      <c r="BG37" s="257"/>
      <c r="BH37" s="257"/>
      <c r="BI37" s="257"/>
      <c r="BJ37" s="257"/>
      <c r="BK37" s="257"/>
      <c r="BL37" s="257"/>
      <c r="BM37" s="257"/>
      <c r="BN37" s="257"/>
    </row>
    <row r="38" spans="1:66">
      <c r="A38" s="259"/>
      <c r="B38" s="257"/>
      <c r="C38" s="257"/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  <c r="AF38" s="257"/>
      <c r="AG38" s="257"/>
      <c r="AH38" s="257"/>
      <c r="AI38" s="257"/>
      <c r="AJ38" s="257"/>
      <c r="AK38" s="257"/>
      <c r="AL38" s="257"/>
      <c r="AM38" s="257"/>
      <c r="AN38" s="257"/>
      <c r="AO38" s="257"/>
      <c r="AP38" s="257"/>
      <c r="AQ38" s="257"/>
      <c r="AR38" s="257"/>
      <c r="AS38" s="257"/>
      <c r="AT38" s="257"/>
      <c r="AU38" s="257"/>
      <c r="AV38" s="257"/>
      <c r="AW38" s="257"/>
      <c r="AX38" s="257"/>
      <c r="AY38" s="257"/>
      <c r="AZ38" s="257"/>
      <c r="BA38" s="257"/>
      <c r="BB38" s="257"/>
      <c r="BC38" s="257"/>
      <c r="BD38" s="257"/>
      <c r="BE38" s="257"/>
      <c r="BF38" s="257"/>
      <c r="BG38" s="257"/>
      <c r="BH38" s="257"/>
      <c r="BI38" s="257"/>
      <c r="BJ38" s="257"/>
      <c r="BK38" s="257"/>
      <c r="BL38" s="257"/>
      <c r="BM38" s="257"/>
      <c r="BN38" s="257"/>
    </row>
    <row r="39" spans="1:66">
      <c r="A39" s="259"/>
      <c r="B39" s="257"/>
      <c r="C39" s="257"/>
      <c r="D39" s="257"/>
      <c r="E39" s="257"/>
      <c r="F39" s="257"/>
      <c r="G39" s="257"/>
      <c r="H39" s="257"/>
      <c r="I39" s="257"/>
      <c r="J39" s="257"/>
      <c r="K39" s="257"/>
      <c r="L39" s="257"/>
      <c r="M39" s="257"/>
      <c r="N39" s="257"/>
      <c r="O39" s="257"/>
      <c r="P39" s="257"/>
      <c r="Q39" s="257"/>
      <c r="R39" s="257"/>
      <c r="S39" s="257"/>
      <c r="T39" s="257"/>
      <c r="U39" s="257"/>
      <c r="V39" s="257"/>
      <c r="W39" s="257"/>
      <c r="X39" s="257"/>
      <c r="Y39" s="257"/>
      <c r="Z39" s="257"/>
      <c r="AA39" s="257"/>
      <c r="AB39" s="257"/>
      <c r="AC39" s="257"/>
      <c r="AD39" s="257"/>
      <c r="AE39" s="257"/>
      <c r="AF39" s="257"/>
      <c r="AG39" s="257"/>
      <c r="AH39" s="257"/>
      <c r="AI39" s="257"/>
      <c r="AJ39" s="257"/>
      <c r="AK39" s="257"/>
      <c r="AL39" s="257"/>
      <c r="AM39" s="257"/>
      <c r="AN39" s="257"/>
      <c r="AO39" s="257"/>
      <c r="AP39" s="257"/>
      <c r="AQ39" s="257"/>
      <c r="AR39" s="257"/>
      <c r="AS39" s="257"/>
      <c r="AT39" s="257"/>
      <c r="AU39" s="257"/>
      <c r="AV39" s="257"/>
      <c r="AW39" s="257"/>
      <c r="AX39" s="257"/>
      <c r="AY39" s="257"/>
      <c r="AZ39" s="257"/>
      <c r="BA39" s="257"/>
      <c r="BB39" s="257"/>
      <c r="BC39" s="257"/>
      <c r="BD39" s="257"/>
      <c r="BE39" s="257"/>
      <c r="BF39" s="257"/>
      <c r="BG39" s="257"/>
      <c r="BH39" s="257"/>
      <c r="BI39" s="257"/>
      <c r="BJ39" s="257"/>
      <c r="BK39" s="257"/>
      <c r="BL39" s="257"/>
      <c r="BM39" s="257"/>
      <c r="BN39" s="257"/>
    </row>
    <row r="40" spans="1:66">
      <c r="A40" s="259"/>
      <c r="B40" s="257"/>
      <c r="C40" s="257"/>
      <c r="D40" s="257"/>
      <c r="E40" s="257"/>
      <c r="F40" s="257"/>
      <c r="G40" s="257"/>
      <c r="H40" s="257"/>
      <c r="I40" s="257"/>
      <c r="J40" s="257"/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  <c r="Z40" s="257"/>
      <c r="AA40" s="257"/>
      <c r="AB40" s="257"/>
      <c r="AC40" s="257"/>
      <c r="AD40" s="257"/>
      <c r="AE40" s="257"/>
      <c r="AF40" s="257"/>
      <c r="AG40" s="257"/>
      <c r="AH40" s="257"/>
      <c r="AI40" s="257"/>
      <c r="AJ40" s="257"/>
      <c r="AK40" s="257"/>
      <c r="AL40" s="257"/>
      <c r="AM40" s="257"/>
      <c r="AN40" s="257"/>
      <c r="AO40" s="257"/>
      <c r="AP40" s="257"/>
      <c r="AQ40" s="257"/>
      <c r="AR40" s="257"/>
      <c r="AS40" s="257"/>
      <c r="AT40" s="257"/>
      <c r="AU40" s="257"/>
      <c r="AV40" s="257"/>
      <c r="AW40" s="257"/>
      <c r="AX40" s="257"/>
      <c r="AY40" s="257"/>
      <c r="AZ40" s="257"/>
      <c r="BA40" s="257"/>
      <c r="BB40" s="257"/>
      <c r="BC40" s="257"/>
      <c r="BD40" s="257"/>
      <c r="BE40" s="257"/>
      <c r="BF40" s="257"/>
      <c r="BG40" s="257"/>
      <c r="BH40" s="257"/>
      <c r="BI40" s="257"/>
      <c r="BJ40" s="257"/>
      <c r="BK40" s="257"/>
      <c r="BL40" s="257"/>
      <c r="BM40" s="257"/>
      <c r="BN40" s="257"/>
    </row>
    <row r="41" spans="1:66">
      <c r="A41" s="259"/>
      <c r="B41" s="257"/>
      <c r="C41" s="257"/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  <c r="AA41" s="257"/>
      <c r="AB41" s="257"/>
      <c r="AC41" s="257"/>
      <c r="AD41" s="257"/>
      <c r="AE41" s="257"/>
      <c r="AF41" s="257"/>
      <c r="AG41" s="257"/>
      <c r="AH41" s="257"/>
      <c r="AI41" s="257"/>
      <c r="AJ41" s="257"/>
      <c r="AK41" s="257"/>
      <c r="AL41" s="257"/>
      <c r="AM41" s="257"/>
      <c r="AN41" s="257"/>
      <c r="AO41" s="257"/>
      <c r="AP41" s="257"/>
      <c r="AQ41" s="257"/>
      <c r="AR41" s="257"/>
      <c r="AS41" s="257"/>
      <c r="AT41" s="257"/>
      <c r="AU41" s="257"/>
      <c r="AV41" s="257"/>
      <c r="AW41" s="257"/>
      <c r="AX41" s="257"/>
      <c r="AY41" s="257"/>
      <c r="AZ41" s="257"/>
      <c r="BA41" s="257"/>
      <c r="BB41" s="257"/>
      <c r="BC41" s="257"/>
      <c r="BD41" s="257"/>
      <c r="BE41" s="257"/>
      <c r="BF41" s="257"/>
      <c r="BG41" s="257"/>
      <c r="BH41" s="257"/>
      <c r="BI41" s="257"/>
      <c r="BJ41" s="257"/>
      <c r="BK41" s="257"/>
      <c r="BL41" s="257"/>
      <c r="BM41" s="257"/>
      <c r="BN41" s="257"/>
    </row>
    <row r="42" spans="1:66">
      <c r="A42" s="259"/>
      <c r="B42" s="257"/>
      <c r="C42" s="257"/>
      <c r="D42" s="257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  <c r="AA42" s="257"/>
      <c r="AB42" s="257"/>
      <c r="AC42" s="257"/>
      <c r="AD42" s="257"/>
      <c r="AE42" s="257"/>
      <c r="AF42" s="257"/>
      <c r="AG42" s="257"/>
      <c r="AH42" s="257"/>
      <c r="AI42" s="257"/>
      <c r="AJ42" s="257"/>
      <c r="AK42" s="257"/>
      <c r="AL42" s="257"/>
      <c r="AM42" s="257"/>
      <c r="AN42" s="257"/>
      <c r="AO42" s="257"/>
      <c r="AP42" s="257"/>
      <c r="AQ42" s="257"/>
      <c r="AR42" s="257"/>
      <c r="AS42" s="257"/>
      <c r="AT42" s="257"/>
      <c r="AU42" s="257"/>
      <c r="AV42" s="257"/>
      <c r="AW42" s="257"/>
      <c r="AX42" s="257"/>
      <c r="AY42" s="257"/>
      <c r="AZ42" s="257"/>
      <c r="BA42" s="257"/>
      <c r="BB42" s="257"/>
      <c r="BC42" s="257"/>
      <c r="BD42" s="257"/>
      <c r="BE42" s="257"/>
      <c r="BF42" s="257"/>
      <c r="BG42" s="257"/>
      <c r="BH42" s="257"/>
      <c r="BI42" s="257"/>
      <c r="BJ42" s="257"/>
      <c r="BK42" s="257"/>
      <c r="BL42" s="257"/>
      <c r="BM42" s="257"/>
      <c r="BN42" s="257"/>
    </row>
    <row r="43" spans="1:66">
      <c r="A43" s="259"/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  <c r="AA43" s="257"/>
      <c r="AB43" s="257"/>
      <c r="AC43" s="257"/>
      <c r="AD43" s="257"/>
      <c r="AE43" s="257"/>
      <c r="AF43" s="257"/>
      <c r="AG43" s="257"/>
      <c r="AH43" s="257"/>
      <c r="AI43" s="257"/>
      <c r="AJ43" s="257"/>
      <c r="AK43" s="257"/>
      <c r="AL43" s="257"/>
      <c r="AM43" s="257"/>
      <c r="AN43" s="257"/>
      <c r="AO43" s="257"/>
      <c r="AP43" s="257"/>
      <c r="AQ43" s="257"/>
      <c r="AR43" s="257"/>
      <c r="AS43" s="257"/>
      <c r="AT43" s="257"/>
      <c r="AU43" s="257"/>
      <c r="AV43" s="257"/>
      <c r="AW43" s="257"/>
      <c r="AX43" s="257"/>
      <c r="AY43" s="257"/>
      <c r="AZ43" s="257"/>
      <c r="BA43" s="257"/>
      <c r="BB43" s="257"/>
      <c r="BC43" s="257"/>
      <c r="BD43" s="257"/>
      <c r="BE43" s="257"/>
      <c r="BF43" s="257"/>
      <c r="BG43" s="257"/>
      <c r="BH43" s="257"/>
      <c r="BI43" s="257"/>
      <c r="BJ43" s="257"/>
      <c r="BK43" s="257"/>
      <c r="BL43" s="257"/>
      <c r="BM43" s="257"/>
      <c r="BN43" s="257"/>
    </row>
    <row r="44" spans="1:66">
      <c r="A44" s="259"/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7"/>
      <c r="X44" s="257"/>
      <c r="Y44" s="257"/>
      <c r="Z44" s="257"/>
      <c r="AA44" s="257"/>
      <c r="AB44" s="257"/>
      <c r="AC44" s="257"/>
      <c r="AD44" s="257"/>
      <c r="AE44" s="257"/>
      <c r="AF44" s="257"/>
      <c r="AG44" s="257"/>
      <c r="AH44" s="257"/>
      <c r="AI44" s="257"/>
      <c r="AJ44" s="257"/>
      <c r="AK44" s="257"/>
      <c r="AL44" s="257"/>
      <c r="AM44" s="257"/>
      <c r="AN44" s="257"/>
      <c r="AO44" s="257"/>
      <c r="AP44" s="257"/>
      <c r="AQ44" s="257"/>
      <c r="AR44" s="257"/>
      <c r="AS44" s="257"/>
      <c r="AT44" s="257"/>
      <c r="AU44" s="257"/>
      <c r="AV44" s="257"/>
      <c r="AW44" s="257"/>
      <c r="AX44" s="257"/>
      <c r="AY44" s="257"/>
      <c r="AZ44" s="257"/>
      <c r="BA44" s="257"/>
      <c r="BB44" s="257"/>
      <c r="BC44" s="257"/>
      <c r="BD44" s="257"/>
      <c r="BE44" s="257"/>
      <c r="BF44" s="257"/>
      <c r="BG44" s="257"/>
      <c r="BH44" s="257"/>
      <c r="BI44" s="257"/>
      <c r="BJ44" s="257"/>
      <c r="BK44" s="257"/>
      <c r="BL44" s="257"/>
      <c r="BM44" s="257"/>
      <c r="BN44" s="257"/>
    </row>
  </sheetData>
  <sheetProtection insertRows="0"/>
  <phoneticPr fontId="16" type="noConversion"/>
  <conditionalFormatting sqref="C30:E30">
    <cfRule type="expression" dxfId="4" priority="679">
      <formula>IF(J6=$C$1,1)</formula>
    </cfRule>
  </conditionalFormatting>
  <conditionalFormatting sqref="C2:BL2">
    <cfRule type="cellIs" dxfId="3" priority="1" operator="equal">
      <formula>1</formula>
    </cfRule>
  </conditionalFormatting>
  <conditionalFormatting sqref="C8:BL27">
    <cfRule type="cellIs" dxfId="2" priority="14" operator="equal">
      <formula>"AV"</formula>
    </cfRule>
    <cfRule type="cellIs" dxfId="1" priority="15" operator="equal">
      <formula>"S"</formula>
    </cfRule>
  </conditionalFormatting>
  <pageMargins left="0.7" right="0.7" top="0.75" bottom="0.75" header="0.3" footer="0.3"/>
  <pageSetup paperSize="9" orientation="portrait" r:id="rId1"/>
  <ignoredErrors>
    <ignoredError sqref="C5:BL5" formulaRange="1"/>
    <ignoredError sqref="C28:AO28 BB28:BL28" unlockedFormula="1"/>
    <ignoredError sqref="BC6:BL6" twoDigitTextYear="1"/>
    <ignoredError sqref="AP28:BA28" formulaRange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4990-F467-4D5A-BB20-B2DD025E7E1B}">
  <sheetPr>
    <tabColor rgb="FFFF0000"/>
    <pageSetUpPr fitToPage="1"/>
  </sheetPr>
  <dimension ref="A1:Y42"/>
  <sheetViews>
    <sheetView zoomScale="90" zoomScaleNormal="90" zoomScaleSheetLayoutView="80" workbookViewId="0">
      <pane xSplit="3" ySplit="4" topLeftCell="D5" activePane="bottomRight" state="frozen"/>
      <selection pane="topRight" activeCell="D1" sqref="D1"/>
      <selection pane="bottomLeft" activeCell="A3" sqref="A3"/>
      <selection pane="bottomRight" activeCell="I11" sqref="I11"/>
    </sheetView>
  </sheetViews>
  <sheetFormatPr baseColWidth="10" defaultColWidth="11.5" defaultRowHeight="15"/>
  <cols>
    <col min="1" max="1" width="12.83203125" style="124" customWidth="1"/>
    <col min="2" max="2" width="57" style="125" customWidth="1"/>
    <col min="3" max="3" width="61.1640625" style="125" customWidth="1"/>
    <col min="4" max="4" width="25.5" style="124" customWidth="1"/>
    <col min="5" max="5" width="14.6640625" style="129" customWidth="1"/>
    <col min="6" max="7" width="18.5" style="124" customWidth="1"/>
    <col min="8" max="8" width="14.1640625" style="127" bestFit="1" customWidth="1"/>
    <col min="9" max="9" width="76" style="125" customWidth="1"/>
    <col min="10" max="10" width="11.83203125" style="128" bestFit="1" customWidth="1"/>
    <col min="11" max="11" width="13.83203125" style="127" customWidth="1"/>
    <col min="12" max="16384" width="11.5" style="124"/>
  </cols>
  <sheetData>
    <row r="1" spans="1:25" ht="25.25" customHeight="1">
      <c r="A1" s="189" t="s">
        <v>1460</v>
      </c>
      <c r="B1" s="184"/>
      <c r="C1" s="184"/>
      <c r="D1" s="183"/>
      <c r="E1" s="185"/>
      <c r="F1" s="183"/>
      <c r="G1" s="183"/>
      <c r="H1" s="186"/>
      <c r="I1" s="184"/>
      <c r="J1" s="187"/>
      <c r="K1" s="186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</row>
    <row r="2" spans="1:25" ht="85.25" customHeight="1" thickBot="1">
      <c r="A2" s="183"/>
      <c r="B2" s="184"/>
      <c r="C2" s="184"/>
      <c r="D2" s="183"/>
      <c r="E2" s="185"/>
      <c r="F2" s="183"/>
      <c r="G2" s="183"/>
      <c r="H2" s="186"/>
      <c r="I2" s="184"/>
      <c r="J2" s="187"/>
      <c r="K2" s="186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</row>
    <row r="3" spans="1:25" s="103" customFormat="1" ht="18.75" customHeight="1">
      <c r="A3" s="626" t="s">
        <v>1461</v>
      </c>
      <c r="B3" s="628" t="s">
        <v>16</v>
      </c>
      <c r="C3" s="628" t="s">
        <v>17</v>
      </c>
      <c r="D3" s="628" t="s">
        <v>19</v>
      </c>
      <c r="E3" s="628" t="s">
        <v>6</v>
      </c>
      <c r="F3" s="618" t="s">
        <v>1462</v>
      </c>
      <c r="G3" s="618" t="s">
        <v>22</v>
      </c>
      <c r="H3" s="620" t="s">
        <v>1463</v>
      </c>
      <c r="I3" s="622" t="s">
        <v>1464</v>
      </c>
      <c r="J3" s="624" t="s">
        <v>5</v>
      </c>
      <c r="K3" s="625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</row>
    <row r="4" spans="1:25" s="103" customFormat="1" ht="20" thickBot="1">
      <c r="A4" s="627"/>
      <c r="B4" s="629"/>
      <c r="C4" s="629"/>
      <c r="D4" s="629"/>
      <c r="E4" s="629"/>
      <c r="F4" s="619"/>
      <c r="G4" s="619"/>
      <c r="H4" s="621"/>
      <c r="I4" s="623"/>
      <c r="J4" s="104" t="s">
        <v>15</v>
      </c>
      <c r="K4" s="105" t="s">
        <v>36</v>
      </c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</row>
    <row r="5" spans="1:25" s="115" customFormat="1" ht="17.25" customHeight="1">
      <c r="A5" s="106"/>
      <c r="B5" s="107"/>
      <c r="C5" s="108"/>
      <c r="D5" s="109"/>
      <c r="E5" s="109"/>
      <c r="F5" s="110"/>
      <c r="G5" s="110"/>
      <c r="H5" s="111"/>
      <c r="I5" s="112"/>
      <c r="J5" s="113"/>
      <c r="K5" s="114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</row>
    <row r="6" spans="1:25" s="115" customFormat="1" ht="17.25" customHeight="1">
      <c r="A6" s="106"/>
      <c r="B6" s="107"/>
      <c r="C6" s="108"/>
      <c r="D6" s="109"/>
      <c r="E6" s="109"/>
      <c r="F6" s="110"/>
      <c r="G6" s="110"/>
      <c r="H6" s="111"/>
      <c r="I6" s="112"/>
      <c r="J6" s="113"/>
      <c r="K6" s="114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</row>
    <row r="7" spans="1:25" s="115" customFormat="1" ht="17.25" customHeight="1">
      <c r="A7" s="116"/>
      <c r="B7" s="107"/>
      <c r="C7" s="108"/>
      <c r="D7" s="109"/>
      <c r="E7" s="109"/>
      <c r="F7" s="110"/>
      <c r="G7" s="110"/>
      <c r="H7" s="111"/>
      <c r="I7" s="112"/>
      <c r="J7" s="113"/>
      <c r="K7" s="114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</row>
    <row r="8" spans="1:25" s="115" customFormat="1" ht="17.25" customHeight="1">
      <c r="A8" s="116"/>
      <c r="B8" s="107"/>
      <c r="C8" s="108"/>
      <c r="D8" s="109"/>
      <c r="E8" s="109"/>
      <c r="F8" s="110"/>
      <c r="G8" s="110"/>
      <c r="H8" s="111"/>
      <c r="I8" s="112"/>
      <c r="J8" s="113"/>
      <c r="K8" s="114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</row>
    <row r="9" spans="1:25" s="115" customFormat="1" ht="17.25" customHeight="1">
      <c r="A9" s="106"/>
      <c r="B9" s="107"/>
      <c r="C9" s="108"/>
      <c r="D9" s="109"/>
      <c r="E9" s="109"/>
      <c r="F9" s="110"/>
      <c r="G9" s="110"/>
      <c r="H9" s="111"/>
      <c r="I9" s="112"/>
      <c r="J9" s="113"/>
      <c r="K9" s="114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</row>
    <row r="10" spans="1:25" s="115" customFormat="1" ht="17.25" customHeight="1">
      <c r="A10" s="116"/>
      <c r="B10" s="107"/>
      <c r="C10" s="108"/>
      <c r="D10" s="109"/>
      <c r="E10" s="109"/>
      <c r="F10" s="110"/>
      <c r="G10" s="110"/>
      <c r="H10" s="111"/>
      <c r="I10" s="112"/>
      <c r="J10" s="113"/>
      <c r="K10" s="114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</row>
    <row r="11" spans="1:25" s="115" customFormat="1" ht="17.25" customHeight="1">
      <c r="A11" s="116"/>
      <c r="B11" s="107"/>
      <c r="C11" s="108"/>
      <c r="D11" s="109"/>
      <c r="E11" s="109"/>
      <c r="F11" s="110"/>
      <c r="G11" s="110"/>
      <c r="H11" s="111"/>
      <c r="I11" s="112"/>
      <c r="J11" s="113"/>
      <c r="K11" s="114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</row>
    <row r="12" spans="1:25" s="115" customFormat="1" ht="17.25" customHeight="1">
      <c r="A12" s="106"/>
      <c r="B12" s="107"/>
      <c r="C12" s="108"/>
      <c r="D12" s="109"/>
      <c r="E12" s="109"/>
      <c r="F12" s="110"/>
      <c r="G12" s="110"/>
      <c r="H12" s="111"/>
      <c r="I12" s="112"/>
      <c r="J12" s="113"/>
      <c r="K12" s="114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</row>
    <row r="13" spans="1:25" s="115" customFormat="1" ht="17.25" customHeight="1">
      <c r="A13" s="116"/>
      <c r="B13" s="107"/>
      <c r="C13" s="108"/>
      <c r="D13" s="109"/>
      <c r="E13" s="109"/>
      <c r="F13" s="110"/>
      <c r="G13" s="110"/>
      <c r="H13" s="111"/>
      <c r="I13" s="112"/>
      <c r="J13" s="113"/>
      <c r="K13" s="114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</row>
    <row r="14" spans="1:25" s="115" customFormat="1" ht="17.25" customHeight="1">
      <c r="A14" s="116"/>
      <c r="B14" s="107"/>
      <c r="C14" s="108"/>
      <c r="D14" s="109"/>
      <c r="E14" s="109"/>
      <c r="F14" s="110"/>
      <c r="G14" s="110"/>
      <c r="H14" s="111"/>
      <c r="I14" s="112"/>
      <c r="J14" s="113"/>
      <c r="K14" s="114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</row>
    <row r="15" spans="1:25" s="115" customFormat="1" ht="17.25" customHeight="1">
      <c r="A15" s="106"/>
      <c r="B15" s="107"/>
      <c r="C15" s="108"/>
      <c r="D15" s="109"/>
      <c r="E15" s="109"/>
      <c r="F15" s="110"/>
      <c r="G15" s="110"/>
      <c r="H15" s="111"/>
      <c r="I15" s="112"/>
      <c r="J15" s="113"/>
      <c r="K15" s="114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</row>
    <row r="16" spans="1:25" s="115" customFormat="1" ht="17.25" customHeight="1">
      <c r="A16" s="116"/>
      <c r="B16" s="107"/>
      <c r="C16" s="108"/>
      <c r="D16" s="109"/>
      <c r="E16" s="109"/>
      <c r="F16" s="110"/>
      <c r="G16" s="110"/>
      <c r="H16" s="111"/>
      <c r="I16" s="112"/>
      <c r="J16" s="113"/>
      <c r="K16" s="114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</row>
    <row r="17" spans="1:25" s="115" customFormat="1" ht="16" customHeight="1" thickBot="1">
      <c r="A17" s="117"/>
      <c r="B17" s="118"/>
      <c r="C17" s="118"/>
      <c r="D17" s="119"/>
      <c r="E17" s="119"/>
      <c r="F17" s="119"/>
      <c r="G17" s="119"/>
      <c r="H17" s="120"/>
      <c r="I17" s="121"/>
      <c r="J17" s="122"/>
      <c r="K17" s="123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</row>
    <row r="18" spans="1:25" ht="19">
      <c r="A18" s="183"/>
      <c r="B18" s="184"/>
      <c r="C18" s="184"/>
      <c r="D18" s="183"/>
      <c r="E18" s="190"/>
      <c r="F18" s="183"/>
      <c r="G18" s="183"/>
      <c r="H18" s="186"/>
      <c r="I18" s="184"/>
      <c r="J18" s="187"/>
      <c r="K18" s="186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</row>
    <row r="19" spans="1:25" ht="19">
      <c r="A19" s="183"/>
      <c r="B19" s="191">
        <f>COUNTA(B5:B17)</f>
        <v>0</v>
      </c>
      <c r="C19" s="192" t="s">
        <v>1465</v>
      </c>
      <c r="D19" s="183"/>
      <c r="E19" s="190"/>
      <c r="F19" s="183"/>
      <c r="G19" s="183"/>
      <c r="H19" s="186"/>
      <c r="I19" s="184"/>
      <c r="J19" s="187"/>
      <c r="K19" s="186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</row>
    <row r="20" spans="1:25">
      <c r="A20" s="183"/>
      <c r="B20" s="184"/>
      <c r="C20" s="184"/>
      <c r="D20" s="183"/>
      <c r="E20" s="185"/>
      <c r="F20" s="183"/>
      <c r="G20" s="183"/>
      <c r="H20" s="186"/>
      <c r="I20" s="184"/>
      <c r="J20" s="187"/>
      <c r="K20" s="186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</row>
    <row r="21" spans="1:25">
      <c r="A21" s="183"/>
      <c r="B21" s="184"/>
      <c r="C21" s="184"/>
      <c r="D21" s="183"/>
      <c r="E21" s="185"/>
      <c r="F21" s="183"/>
      <c r="G21" s="183"/>
      <c r="H21" s="186"/>
      <c r="I21" s="184"/>
      <c r="J21" s="187"/>
      <c r="K21" s="186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</row>
    <row r="22" spans="1:25">
      <c r="A22" s="183"/>
      <c r="B22" s="184"/>
      <c r="C22" s="184"/>
      <c r="D22" s="183"/>
      <c r="E22" s="185"/>
      <c r="F22" s="183"/>
      <c r="G22" s="183"/>
      <c r="H22" s="186"/>
      <c r="I22" s="184"/>
      <c r="J22" s="187"/>
      <c r="K22" s="186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</row>
    <row r="23" spans="1:25">
      <c r="A23" s="183"/>
      <c r="B23" s="184"/>
      <c r="C23" s="184"/>
      <c r="D23" s="183"/>
      <c r="E23" s="185"/>
      <c r="F23" s="183"/>
      <c r="G23" s="183"/>
      <c r="H23" s="186"/>
      <c r="I23" s="184"/>
      <c r="J23" s="187"/>
      <c r="K23" s="186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</row>
    <row r="24" spans="1:25">
      <c r="A24" s="183"/>
      <c r="B24" s="184"/>
      <c r="C24" s="184"/>
      <c r="D24" s="183"/>
      <c r="E24" s="185"/>
      <c r="F24" s="183"/>
      <c r="G24" s="183"/>
      <c r="H24" s="186"/>
      <c r="I24" s="184"/>
      <c r="J24" s="187"/>
      <c r="K24" s="186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</row>
    <row r="25" spans="1:25">
      <c r="A25" s="183"/>
      <c r="B25" s="184"/>
      <c r="C25" s="184"/>
      <c r="D25" s="183"/>
      <c r="E25" s="185"/>
      <c r="F25" s="183"/>
      <c r="G25" s="183"/>
      <c r="H25" s="186"/>
      <c r="I25" s="184"/>
      <c r="J25" s="187"/>
      <c r="K25" s="186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</row>
    <row r="26" spans="1:25">
      <c r="A26" s="183"/>
      <c r="B26" s="184"/>
      <c r="C26" s="184"/>
      <c r="D26" s="183"/>
      <c r="E26" s="185"/>
      <c r="F26" s="183"/>
      <c r="G26" s="183"/>
      <c r="H26" s="186"/>
      <c r="I26" s="184"/>
      <c r="J26" s="187"/>
      <c r="K26" s="186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</row>
    <row r="27" spans="1:25">
      <c r="A27" s="183"/>
      <c r="B27" s="184"/>
      <c r="C27" s="184"/>
      <c r="D27" s="183"/>
      <c r="E27" s="185"/>
      <c r="F27" s="183"/>
      <c r="G27" s="183"/>
      <c r="H27" s="186"/>
      <c r="I27" s="184"/>
      <c r="J27" s="187"/>
      <c r="K27" s="186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</row>
    <row r="28" spans="1:25">
      <c r="A28" s="183"/>
      <c r="B28" s="184"/>
      <c r="C28" s="184"/>
      <c r="D28" s="183"/>
      <c r="E28" s="185"/>
      <c r="F28" s="183"/>
      <c r="G28" s="183"/>
      <c r="H28" s="186"/>
      <c r="I28" s="184"/>
      <c r="J28" s="187"/>
      <c r="K28" s="186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</row>
    <row r="29" spans="1:25">
      <c r="A29" s="183"/>
      <c r="B29" s="184"/>
      <c r="C29" s="184"/>
      <c r="D29" s="183"/>
      <c r="E29" s="185"/>
      <c r="F29" s="183"/>
      <c r="G29" s="183"/>
      <c r="H29" s="186"/>
      <c r="I29" s="184"/>
      <c r="J29" s="187"/>
      <c r="K29" s="186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</row>
    <row r="30" spans="1:25">
      <c r="A30" s="183"/>
      <c r="B30" s="184"/>
      <c r="C30" s="184"/>
      <c r="D30" s="183"/>
      <c r="E30" s="185"/>
      <c r="F30" s="183"/>
      <c r="G30" s="183"/>
      <c r="H30" s="186"/>
      <c r="I30" s="184"/>
      <c r="J30" s="187"/>
      <c r="K30" s="186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</row>
    <row r="31" spans="1:25">
      <c r="A31" s="183"/>
      <c r="B31" s="184"/>
      <c r="C31" s="184"/>
      <c r="D31" s="183"/>
      <c r="E31" s="185"/>
      <c r="F31" s="183"/>
      <c r="G31" s="183"/>
      <c r="H31" s="186"/>
      <c r="I31" s="184"/>
      <c r="J31" s="187"/>
      <c r="K31" s="186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</row>
    <row r="32" spans="1:25">
      <c r="A32" s="183"/>
      <c r="B32" s="184"/>
      <c r="C32" s="184"/>
      <c r="D32" s="183"/>
      <c r="E32" s="185"/>
      <c r="F32" s="183"/>
      <c r="G32" s="183"/>
      <c r="H32" s="186"/>
      <c r="I32" s="184"/>
      <c r="J32" s="187"/>
      <c r="K32" s="186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</row>
    <row r="33" spans="1:25">
      <c r="A33" s="183"/>
      <c r="B33" s="184"/>
      <c r="C33" s="184"/>
      <c r="D33" s="183"/>
      <c r="E33" s="185"/>
      <c r="F33" s="183"/>
      <c r="G33" s="183"/>
      <c r="H33" s="186"/>
      <c r="I33" s="184"/>
      <c r="J33" s="187"/>
      <c r="K33" s="186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</row>
    <row r="34" spans="1:25">
      <c r="A34" s="183"/>
      <c r="B34" s="184"/>
      <c r="C34" s="184"/>
      <c r="D34" s="183"/>
      <c r="E34" s="185"/>
      <c r="F34" s="183"/>
      <c r="G34" s="183"/>
      <c r="H34" s="186"/>
      <c r="I34" s="184"/>
      <c r="J34" s="187"/>
      <c r="K34" s="186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</row>
    <row r="35" spans="1:25">
      <c r="A35" s="183"/>
      <c r="B35" s="184"/>
      <c r="C35" s="184"/>
      <c r="D35" s="183"/>
      <c r="E35" s="185"/>
      <c r="F35" s="183"/>
      <c r="G35" s="183"/>
      <c r="H35" s="186"/>
      <c r="I35" s="184"/>
      <c r="J35" s="187"/>
      <c r="K35" s="186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</row>
    <row r="36" spans="1:25">
      <c r="A36" s="183"/>
      <c r="B36" s="184"/>
      <c r="C36" s="184"/>
      <c r="D36" s="183"/>
      <c r="E36" s="185"/>
      <c r="F36" s="183"/>
      <c r="G36" s="183"/>
      <c r="H36" s="186"/>
      <c r="I36" s="184"/>
      <c r="J36" s="187"/>
      <c r="K36" s="186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</row>
    <row r="37" spans="1:25">
      <c r="A37" s="183"/>
      <c r="B37" s="184"/>
      <c r="C37" s="184"/>
      <c r="D37" s="183"/>
      <c r="E37" s="185"/>
      <c r="F37" s="183"/>
      <c r="G37" s="183"/>
      <c r="H37" s="186"/>
      <c r="I37" s="184"/>
      <c r="J37" s="187"/>
      <c r="K37" s="186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</row>
    <row r="38" spans="1:25">
      <c r="A38" s="183"/>
      <c r="B38" s="184"/>
      <c r="C38" s="184"/>
      <c r="D38" s="183"/>
      <c r="E38" s="185"/>
      <c r="F38" s="183"/>
      <c r="G38" s="183"/>
      <c r="H38" s="186"/>
      <c r="I38" s="184"/>
      <c r="J38" s="187"/>
      <c r="K38" s="186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</row>
    <row r="39" spans="1:25">
      <c r="A39" s="183"/>
      <c r="B39" s="184"/>
      <c r="C39" s="184"/>
      <c r="D39" s="183"/>
      <c r="E39" s="185"/>
      <c r="F39" s="183"/>
      <c r="G39" s="183"/>
      <c r="H39" s="186"/>
      <c r="I39" s="184"/>
      <c r="J39" s="187"/>
      <c r="K39" s="186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</row>
    <row r="40" spans="1:25">
      <c r="A40" s="183"/>
      <c r="B40" s="184"/>
      <c r="C40" s="184"/>
      <c r="D40" s="183"/>
      <c r="E40" s="185"/>
      <c r="F40" s="183"/>
      <c r="G40" s="183"/>
      <c r="H40" s="186"/>
      <c r="I40" s="184"/>
      <c r="J40" s="187"/>
      <c r="K40" s="186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</row>
    <row r="41" spans="1:25">
      <c r="A41" s="183"/>
      <c r="B41" s="184"/>
      <c r="C41" s="184"/>
      <c r="D41" s="183"/>
      <c r="E41" s="185"/>
      <c r="F41" s="183"/>
      <c r="G41" s="183"/>
      <c r="H41" s="186"/>
      <c r="I41" s="184"/>
      <c r="J41" s="187"/>
      <c r="K41" s="186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</row>
    <row r="42" spans="1:25">
      <c r="A42" s="183"/>
      <c r="B42" s="184"/>
      <c r="C42" s="184"/>
      <c r="D42" s="183"/>
      <c r="E42" s="185"/>
      <c r="F42" s="183"/>
      <c r="G42" s="183"/>
      <c r="H42" s="186"/>
      <c r="I42" s="184"/>
      <c r="J42" s="187"/>
      <c r="K42" s="186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</row>
  </sheetData>
  <autoFilter ref="A3:K4" xr:uid="{6B60526F-A516-4C8C-BF3C-C36741285FB5}">
    <filterColumn colId="9" showButton="0"/>
    <sortState xmlns:xlrd2="http://schemas.microsoft.com/office/spreadsheetml/2017/richdata2" ref="A6:K6">
      <sortCondition ref="H3:H4"/>
    </sortState>
  </autoFilter>
  <mergeCells count="10"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F3:F4"/>
  </mergeCells>
  <conditionalFormatting sqref="A5:I17">
    <cfRule type="expression" dxfId="0" priority="1">
      <formula>MOD(ROW(),2)=0</formula>
    </cfRule>
  </conditionalFormatting>
  <pageMargins left="0.7" right="0.7" top="0.75" bottom="0.75" header="0.3" footer="0.3"/>
  <pageSetup paperSize="8"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Selskapsdokument" ma:contentTypeID="0x010100370C686B4DA9A64380DEE88118F732480013400666AA28EC49AEF791FF4D8156AF" ma:contentTypeVersion="8" ma:contentTypeDescription="Opprett et nytt dokument." ma:contentTypeScope="" ma:versionID="8e041a1dafc2e53d0cd32f1304915d56">
  <xsd:schema xmlns:xsd="http://www.w3.org/2001/XMLSchema" xmlns:xs="http://www.w3.org/2001/XMLSchema" xmlns:p="http://schemas.microsoft.com/office/2006/metadata/properties" xmlns:ns2="d704f4e8-6e63-4de4-aef5-cc257dd42d86" xmlns:ns3="c83e9fb9-0889-4f88-9092-08ca58c316c0" targetNamespace="http://schemas.microsoft.com/office/2006/metadata/properties" ma:root="true" ma:fieldsID="e53599590da4eeb09148de9018b81d35" ns2:_="" ns3:_="">
    <xsd:import namespace="d704f4e8-6e63-4de4-aef5-cc257dd42d86"/>
    <xsd:import namespace="c83e9fb9-0889-4f88-9092-08ca58c316c0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DocumentDescription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3:ParentFolderElement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04f4e8-6e63-4de4-aef5-cc257dd42d86" elementFormDefault="qualified">
    <xsd:import namespace="http://schemas.microsoft.com/office/2006/documentManagement/types"/>
    <xsd:import namespace="http://schemas.microsoft.com/office/infopath/2007/PartnerControls"/>
    <xsd:element name="DocumentType" ma:index="8" nillable="true" ma:displayName="Dokumenttype" ma:internalName="DocumentType">
      <xsd:simpleType>
        <xsd:restriction base="dms:Choice">
          <xsd:enumeration value="E-post"/>
          <xsd:enumeration value="Dokument"/>
          <xsd:enumeration value="Regneark"/>
          <xsd:enumeration value="PDF"/>
          <xsd:enumeration value="Presentasjon"/>
          <xsd:enumeration value="Bilde"/>
          <xsd:enumeration value="Skjema"/>
          <xsd:enumeration value="Tegning"/>
        </xsd:restriction>
      </xsd:simpleType>
    </xsd:element>
    <xsd:element name="ContactPerson" ma:index="9" nillable="true" ma:displayName="Kontaktperson" ma:internalName="ContactPerson">
      <xsd:simpleType>
        <xsd:restriction base="dms:Text"/>
      </xsd:simpleType>
    </xsd:element>
    <xsd:element name="ContactPersonCompany" ma:index="10" nillable="true" ma:displayName="Kontaktperson selskap" ma:internalName="ContactPersonCompany">
      <xsd:simpleType>
        <xsd:restriction base="dms:Text"/>
      </xsd:simpleType>
    </xsd:element>
    <xsd:element name="ContactPersonCompanyID" ma:index="11" nillable="true" ma:displayName="Kontaktperson selskap ID" ma:internalName="ContactPersonCompanyID">
      <xsd:simpleType>
        <xsd:restriction base="dms:Text"/>
      </xsd:simpleType>
    </xsd:element>
    <xsd:element name="ContactPersonID" ma:index="12" nillable="true" ma:displayName="Kontaktperson ID" ma:internalName="ContactPersonID">
      <xsd:simpleType>
        <xsd:restriction base="dms:Text"/>
      </xsd:simpleType>
    </xsd:element>
    <xsd:element name="DocumentDescription" ma:index="13" nillable="true" ma:displayName="Dokumentbeskrivelse" ma:internalName="DocumentDescription">
      <xsd:simpleType>
        <xsd:restriction base="dms:Note"/>
      </xsd:simpleType>
    </xsd:element>
    <xsd:element name="MailDate" ma:index="14" nillable="true" ma:displayName="E-post dato" ma:format="DateTime" ma:internalName="MailDate">
      <xsd:simpleType>
        <xsd:restriction base="dms:DateTime"/>
      </xsd:simpleType>
    </xsd:element>
    <xsd:element name="Direction" ma:index="15" nillable="true" ma:displayName="E-postretning" ma:internalName="Direction">
      <xsd:simpleType>
        <xsd:restriction base="dms:Choice">
          <xsd:enumeration value="Inngående"/>
          <xsd:enumeration value="Utgående"/>
        </xsd:restriction>
      </xsd:simpleType>
    </xsd:element>
    <xsd:element name="DocLink" ma:index="16" nillable="true" ma:displayName="Dokumentlink" ma:internalName="DocLink">
      <xsd:simpleType>
        <xsd:restriction base="dms:Note"/>
      </xsd:simpleType>
    </xsd:element>
    <xsd:element name="ConversationIndex" ma:index="17" nillable="true" ma:displayName="ConversationIndex" ma:internalName="ConversationIndex">
      <xsd:simpleType>
        <xsd:restriction base="dms:Text"/>
      </xsd:simpleType>
    </xsd:element>
    <xsd:element name="ConversationID" ma:index="18" nillable="true" ma:displayName="Samtale" ma:internalName="ConversationID">
      <xsd:simpleType>
        <xsd:restriction base="dms:Text"/>
      </xsd:simpleType>
    </xsd:element>
    <xsd:element name="ConversationTopic" ma:index="19" nillable="true" ma:displayName="Samtale emne" ma:internalName="ConversationTopic">
      <xsd:simpleType>
        <xsd:restriction base="dms:Text"/>
      </xsd:simpleType>
    </xsd:element>
    <xsd:element name="SiteNo" ma:index="20" nillable="true" ma:displayName="Område Nr" ma:internalName="SiteNo">
      <xsd:simpleType>
        <xsd:restriction base="dms:Text"/>
      </xsd:simpleType>
    </xsd:element>
    <xsd:element name="EmailPreview" ma:index="21" nillable="true" ma:displayName="EmailPreview" ma:internalName="EmailPreview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e9fb9-0889-4f88-9092-08ca58c316c0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22" nillable="true" ma:displayName="Mapperelasjoner" ma:list="{81e21c85-8b87-44e9-bd93-ee3f0149d700}" ma:internalName="ParentFolderElements" ma:showField="Title" ma:web="{6da5d17c-3c9b-42c5-a927-1ec7cd3b3776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Preview xmlns="d704f4e8-6e63-4de4-aef5-cc257dd42d86" xsi:nil="true"/>
    <DocumentType xmlns="d704f4e8-6e63-4de4-aef5-cc257dd42d86" xsi:nil="true"/>
    <ContactPersonCompany xmlns="d704f4e8-6e63-4de4-aef5-cc257dd42d86" xsi:nil="true"/>
    <Direction xmlns="d704f4e8-6e63-4de4-aef5-cc257dd42d86" xsi:nil="true"/>
    <ContactPerson xmlns="d704f4e8-6e63-4de4-aef5-cc257dd42d86" xsi:nil="true"/>
    <ContactPersonCompanyID xmlns="d704f4e8-6e63-4de4-aef5-cc257dd42d86" xsi:nil="true"/>
    <MailDate xmlns="d704f4e8-6e63-4de4-aef5-cc257dd42d86" xsi:nil="true"/>
    <ConversationID xmlns="d704f4e8-6e63-4de4-aef5-cc257dd42d86" xsi:nil="true"/>
    <DocLink xmlns="d704f4e8-6e63-4de4-aef5-cc257dd42d86" xsi:nil="true"/>
    <ConversationIndex xmlns="d704f4e8-6e63-4de4-aef5-cc257dd42d86" xsi:nil="true"/>
    <ParentFolderElements xmlns="c83e9fb9-0889-4f88-9092-08ca58c316c0" xsi:nil="true"/>
    <ContactPersonID xmlns="d704f4e8-6e63-4de4-aef5-cc257dd42d86" xsi:nil="true"/>
    <SiteNo xmlns="d704f4e8-6e63-4de4-aef5-cc257dd42d86" xsi:nil="true"/>
    <DocumentDescription xmlns="d704f4e8-6e63-4de4-aef5-cc257dd42d86" xsi:nil="true"/>
    <ConversationTopic xmlns="d704f4e8-6e63-4de4-aef5-cc257dd42d86" xsi:nil="true"/>
  </documentManagement>
</p:properties>
</file>

<file path=customXml/itemProps1.xml><?xml version="1.0" encoding="utf-8"?>
<ds:datastoreItem xmlns:ds="http://schemas.openxmlformats.org/officeDocument/2006/customXml" ds:itemID="{07A28F0B-39B2-487E-825E-321F521400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04f4e8-6e63-4de4-aef5-cc257dd42d86"/>
    <ds:schemaRef ds:uri="c83e9fb9-0889-4f88-9092-08ca58c316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6C24D8-CD95-4C68-A7B5-59F058111A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334525-75B6-42CF-A56B-DB6489FE77B8}">
  <ds:schemaRefs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d704f4e8-6e63-4de4-aef5-cc257dd42d86"/>
    <ds:schemaRef ds:uri="http://schemas.microsoft.com/office/infopath/2007/PartnerControls"/>
    <ds:schemaRef ds:uri="c83e9fb9-0889-4f88-9092-08ca58c316c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Regneark</vt:lpstr>
      </vt:variant>
      <vt:variant>
        <vt:i4>10</vt:i4>
      </vt:variant>
      <vt:variant>
        <vt:lpstr>Navngitte områder</vt:lpstr>
      </vt:variant>
      <vt:variant>
        <vt:i4>2</vt:i4>
      </vt:variant>
    </vt:vector>
  </HeadingPairs>
  <TitlesOfParts>
    <vt:vector size="12" baseType="lpstr">
      <vt:lpstr>Utsendte tilbud</vt:lpstr>
      <vt:lpstr>Serviceavtaler</vt:lpstr>
      <vt:lpstr>Prosjektplan</vt:lpstr>
      <vt:lpstr>Folie-skruer</vt:lpstr>
      <vt:lpstr>Akkord 2025</vt:lpstr>
      <vt:lpstr>Akkord 2024</vt:lpstr>
      <vt:lpstr>Akkord 2023</vt:lpstr>
      <vt:lpstr>Prosjektliste_Prodplan</vt:lpstr>
      <vt:lpstr>Mont- Bemanning</vt:lpstr>
      <vt:lpstr>Forespørsler</vt:lpstr>
      <vt:lpstr>Prosjektliste_Prodplan!Utskriftsområde</vt:lpstr>
      <vt:lpstr>Prosjektplan!Utskriftsområde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Henrik Søgaard Karlsen</dc:creator>
  <cp:keywords/>
  <dc:description/>
  <cp:lastModifiedBy>Hauk Aleksander Olaussen</cp:lastModifiedBy>
  <cp:revision/>
  <dcterms:created xsi:type="dcterms:W3CDTF">2015-06-05T18:19:34Z</dcterms:created>
  <dcterms:modified xsi:type="dcterms:W3CDTF">2025-12-10T13:43:25Z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0x010100370C686B4DA9A64380DEE88118F732480013400666AA28EC49AEF791FF4D8156AF</vt:lpwstr>
  </property>
</Properties>
</file>